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pplant\Energy Management\David King\SEP\FY2016_17\"/>
    </mc:Choice>
  </mc:AlternateContent>
  <bookViews>
    <workbookView xWindow="0" yWindow="0" windowWidth="18870" windowHeight="7935" tabRatio="598"/>
  </bookViews>
  <sheets>
    <sheet name="WCU" sheetId="1" r:id="rId1"/>
    <sheet name="Usage and cost by fuel" sheetId="3" r:id="rId2"/>
    <sheet name="Historical Costs" sheetId="4" r:id="rId3"/>
    <sheet name="Energy Evaluation" sheetId="6" r:id="rId4"/>
    <sheet name="Previous WCU " sheetId="2" r:id="rId5"/>
  </sheets>
  <definedNames>
    <definedName name="kWh_fctor">#REF!</definedName>
    <definedName name="NG_fctor">#REF!</definedName>
    <definedName name="oil2_fctor">#REF!</definedName>
    <definedName name="Prop_fctor">#REF!</definedName>
  </definedNames>
  <calcPr calcId="15251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BE16" i="1" l="1"/>
  <c r="BG16" i="1" s="1"/>
  <c r="BF16" i="1"/>
  <c r="BH16" i="1"/>
  <c r="BJ16" i="1" s="1"/>
  <c r="BI16" i="1"/>
  <c r="BL16" i="1"/>
  <c r="BK16" i="1" l="1"/>
  <c r="AI16" i="1" l="1"/>
  <c r="AJ16" i="1" s="1"/>
  <c r="AK16" i="1"/>
  <c r="AM16" i="1"/>
  <c r="AN16" i="1" s="1"/>
  <c r="AQ16" i="1"/>
  <c r="AL16" i="1" s="1"/>
  <c r="Z16" i="1"/>
  <c r="Y16" i="1"/>
  <c r="AO16" i="1" l="1"/>
  <c r="AP16" i="1" s="1"/>
  <c r="Z15" i="1"/>
  <c r="Y15" i="1"/>
  <c r="J16" i="1"/>
  <c r="H16" i="1"/>
  <c r="AA16" i="1"/>
  <c r="I16" i="1"/>
  <c r="G16" i="1"/>
  <c r="N16" i="1" l="1"/>
  <c r="I18" i="4" l="1"/>
  <c r="J18" i="4"/>
  <c r="I6" i="4" l="1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J5" i="4"/>
  <c r="I5" i="4"/>
  <c r="BK3" i="1" l="1"/>
  <c r="BK4" i="1"/>
  <c r="BK5" i="1"/>
  <c r="BK6" i="1"/>
  <c r="BK7" i="1"/>
  <c r="BK8" i="1"/>
  <c r="BK9" i="1"/>
  <c r="BK10" i="1"/>
  <c r="BK11" i="1"/>
  <c r="BK12" i="1"/>
  <c r="BK13" i="1"/>
  <c r="BK14" i="1"/>
  <c r="BK2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2" i="1"/>
  <c r="BA8" i="1" l="1"/>
  <c r="BA10" i="1"/>
  <c r="BA12" i="1"/>
  <c r="BA13" i="1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9" i="4"/>
  <c r="G20" i="4"/>
  <c r="G21" i="4"/>
  <c r="G22" i="4"/>
  <c r="G23" i="4"/>
  <c r="G24" i="4"/>
  <c r="G25" i="4"/>
  <c r="G26" i="4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4" i="3"/>
  <c r="AV7" i="1" l="1"/>
  <c r="AV10" i="1"/>
  <c r="N15" i="1" l="1"/>
  <c r="AK2" i="1" l="1"/>
  <c r="AK3" i="1"/>
  <c r="AK4" i="1"/>
  <c r="AK5" i="1"/>
  <c r="AK6" i="1"/>
  <c r="AK7" i="1"/>
  <c r="AK10" i="1"/>
  <c r="AI3" i="1"/>
  <c r="AI4" i="1"/>
  <c r="AI5" i="1"/>
  <c r="AI6" i="1"/>
  <c r="AI8" i="1"/>
  <c r="AI10" i="1"/>
  <c r="AI12" i="1"/>
  <c r="AI13" i="1"/>
  <c r="AI2" i="1"/>
  <c r="AM2" i="1"/>
  <c r="AM3" i="1"/>
  <c r="AM4" i="1"/>
  <c r="AM5" i="1"/>
  <c r="AM6" i="1"/>
  <c r="AM8" i="1"/>
  <c r="AM9" i="1"/>
  <c r="AM10" i="1"/>
  <c r="AM11" i="1"/>
  <c r="AM12" i="1"/>
  <c r="AM13" i="1"/>
  <c r="AM14" i="1"/>
  <c r="AM15" i="1"/>
  <c r="AM7" i="1"/>
  <c r="AK12" i="1"/>
  <c r="AV12" i="1" s="1"/>
  <c r="AK13" i="1"/>
  <c r="AV13" i="1" s="1"/>
  <c r="AK14" i="1"/>
  <c r="AV14" i="1" s="1"/>
  <c r="AK15" i="1"/>
  <c r="AV15" i="1" s="1"/>
  <c r="AO3" i="1" l="1"/>
  <c r="AO12" i="1"/>
  <c r="AO4" i="1"/>
  <c r="AO10" i="1"/>
  <c r="AO6" i="1"/>
  <c r="AO13" i="1"/>
  <c r="AO5" i="1"/>
  <c r="AO2" i="1"/>
  <c r="H15" i="1" l="1"/>
  <c r="G15" i="1" l="1"/>
  <c r="AI15" i="1" l="1"/>
  <c r="BA15" i="1"/>
  <c r="AO15" i="1"/>
  <c r="K41" i="1"/>
  <c r="M41" i="1"/>
  <c r="G14" i="1"/>
  <c r="AI14" i="1" l="1"/>
  <c r="BA14" i="1"/>
  <c r="AO14" i="1"/>
  <c r="C100" i="2"/>
  <c r="B100" i="2"/>
  <c r="A100" i="2"/>
  <c r="C99" i="2"/>
  <c r="B99" i="2"/>
  <c r="A99" i="2"/>
  <c r="C98" i="2"/>
  <c r="B98" i="2"/>
  <c r="A98" i="2"/>
  <c r="C97" i="2"/>
  <c r="B97" i="2"/>
  <c r="A97" i="2"/>
  <c r="C96" i="2"/>
  <c r="B96" i="2"/>
  <c r="A96" i="2"/>
  <c r="C95" i="2"/>
  <c r="B95" i="2"/>
  <c r="A95" i="2"/>
  <c r="C94" i="2"/>
  <c r="B94" i="2"/>
  <c r="A94" i="2"/>
  <c r="C93" i="2"/>
  <c r="B93" i="2"/>
  <c r="A93" i="2"/>
  <c r="C92" i="2"/>
  <c r="B92" i="2"/>
  <c r="A92" i="2"/>
  <c r="C91" i="2"/>
  <c r="B91" i="2"/>
  <c r="A91" i="2"/>
  <c r="C90" i="2"/>
  <c r="B90" i="2"/>
  <c r="A90" i="2"/>
  <c r="C89" i="2"/>
  <c r="B89" i="2"/>
  <c r="A89" i="2"/>
  <c r="C88" i="2"/>
  <c r="B88" i="2"/>
  <c r="A88" i="2"/>
  <c r="C87" i="2"/>
  <c r="B87" i="2"/>
  <c r="A87" i="2"/>
  <c r="C86" i="2"/>
  <c r="B86" i="2"/>
  <c r="A86" i="2"/>
  <c r="C85" i="2"/>
  <c r="B85" i="2"/>
  <c r="A85" i="2"/>
  <c r="C84" i="2"/>
  <c r="B84" i="2"/>
  <c r="A84" i="2"/>
  <c r="C83" i="2"/>
  <c r="B83" i="2"/>
  <c r="A83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M75" i="2"/>
  <c r="L75" i="2"/>
  <c r="M100" i="2" s="1"/>
  <c r="K75" i="2"/>
  <c r="K100" i="2" s="1"/>
  <c r="J75" i="2"/>
  <c r="J100" i="2" s="1"/>
  <c r="H75" i="2"/>
  <c r="H100" i="2" s="1"/>
  <c r="G75" i="2"/>
  <c r="G100" i="2" s="1"/>
  <c r="F75" i="2"/>
  <c r="F100" i="2" s="1"/>
  <c r="E75" i="2"/>
  <c r="E100" i="2" s="1"/>
  <c r="D75" i="2"/>
  <c r="D100" i="2" s="1"/>
  <c r="C75" i="2"/>
  <c r="B75" i="2"/>
  <c r="A75" i="2"/>
  <c r="M74" i="2"/>
  <c r="L74" i="2"/>
  <c r="M99" i="2" s="1"/>
  <c r="K74" i="2"/>
  <c r="K99" i="2" s="1"/>
  <c r="J74" i="2"/>
  <c r="J99" i="2" s="1"/>
  <c r="H74" i="2"/>
  <c r="H99" i="2" s="1"/>
  <c r="G74" i="2"/>
  <c r="G99" i="2" s="1"/>
  <c r="F74" i="2"/>
  <c r="F99" i="2" s="1"/>
  <c r="E74" i="2"/>
  <c r="E99" i="2" s="1"/>
  <c r="D74" i="2"/>
  <c r="D99" i="2" s="1"/>
  <c r="C74" i="2"/>
  <c r="B74" i="2"/>
  <c r="A74" i="2"/>
  <c r="M73" i="2"/>
  <c r="L73" i="2"/>
  <c r="M98" i="2" s="1"/>
  <c r="K73" i="2"/>
  <c r="K98" i="2" s="1"/>
  <c r="J73" i="2"/>
  <c r="J98" i="2" s="1"/>
  <c r="H73" i="2"/>
  <c r="H98" i="2" s="1"/>
  <c r="G73" i="2"/>
  <c r="G98" i="2" s="1"/>
  <c r="F73" i="2"/>
  <c r="F98" i="2" s="1"/>
  <c r="E73" i="2"/>
  <c r="E98" i="2" s="1"/>
  <c r="D73" i="2"/>
  <c r="D98" i="2" s="1"/>
  <c r="C73" i="2"/>
  <c r="B73" i="2"/>
  <c r="A73" i="2"/>
  <c r="M72" i="2"/>
  <c r="L72" i="2"/>
  <c r="M97" i="2" s="1"/>
  <c r="K72" i="2"/>
  <c r="K97" i="2" s="1"/>
  <c r="J72" i="2"/>
  <c r="J97" i="2" s="1"/>
  <c r="H72" i="2"/>
  <c r="H97" i="2" s="1"/>
  <c r="G72" i="2"/>
  <c r="G97" i="2" s="1"/>
  <c r="F72" i="2"/>
  <c r="F97" i="2" s="1"/>
  <c r="E72" i="2"/>
  <c r="E97" i="2" s="1"/>
  <c r="D72" i="2"/>
  <c r="D97" i="2" s="1"/>
  <c r="C72" i="2"/>
  <c r="B72" i="2"/>
  <c r="A72" i="2"/>
  <c r="M71" i="2"/>
  <c r="L71" i="2"/>
  <c r="M96" i="2" s="1"/>
  <c r="K71" i="2"/>
  <c r="K96" i="2" s="1"/>
  <c r="J71" i="2"/>
  <c r="J96" i="2" s="1"/>
  <c r="H71" i="2"/>
  <c r="H96" i="2" s="1"/>
  <c r="G71" i="2"/>
  <c r="G96" i="2" s="1"/>
  <c r="F71" i="2"/>
  <c r="F96" i="2" s="1"/>
  <c r="E71" i="2"/>
  <c r="E96" i="2" s="1"/>
  <c r="D71" i="2"/>
  <c r="D96" i="2" s="1"/>
  <c r="C71" i="2"/>
  <c r="B71" i="2"/>
  <c r="A71" i="2"/>
  <c r="M70" i="2"/>
  <c r="L70" i="2"/>
  <c r="M95" i="2" s="1"/>
  <c r="K70" i="2"/>
  <c r="K95" i="2" s="1"/>
  <c r="J70" i="2"/>
  <c r="J95" i="2" s="1"/>
  <c r="H70" i="2"/>
  <c r="H95" i="2" s="1"/>
  <c r="G70" i="2"/>
  <c r="G95" i="2" s="1"/>
  <c r="F70" i="2"/>
  <c r="F95" i="2" s="1"/>
  <c r="E70" i="2"/>
  <c r="E95" i="2" s="1"/>
  <c r="D70" i="2"/>
  <c r="D95" i="2" s="1"/>
  <c r="C70" i="2"/>
  <c r="B70" i="2"/>
  <c r="A70" i="2"/>
  <c r="M69" i="2"/>
  <c r="L69" i="2"/>
  <c r="M94" i="2" s="1"/>
  <c r="K69" i="2"/>
  <c r="K94" i="2" s="1"/>
  <c r="J69" i="2"/>
  <c r="J94" i="2" s="1"/>
  <c r="H69" i="2"/>
  <c r="H94" i="2" s="1"/>
  <c r="G69" i="2"/>
  <c r="G94" i="2" s="1"/>
  <c r="F69" i="2"/>
  <c r="F94" i="2" s="1"/>
  <c r="E69" i="2"/>
  <c r="E94" i="2" s="1"/>
  <c r="D69" i="2"/>
  <c r="D94" i="2" s="1"/>
  <c r="C69" i="2"/>
  <c r="B69" i="2"/>
  <c r="A69" i="2"/>
  <c r="M68" i="2"/>
  <c r="L68" i="2"/>
  <c r="M93" i="2" s="1"/>
  <c r="K68" i="2"/>
  <c r="K93" i="2" s="1"/>
  <c r="J68" i="2"/>
  <c r="J93" i="2" s="1"/>
  <c r="H68" i="2"/>
  <c r="H93" i="2" s="1"/>
  <c r="G68" i="2"/>
  <c r="G93" i="2" s="1"/>
  <c r="F68" i="2"/>
  <c r="F93" i="2" s="1"/>
  <c r="E68" i="2"/>
  <c r="E93" i="2" s="1"/>
  <c r="D68" i="2"/>
  <c r="D93" i="2" s="1"/>
  <c r="C68" i="2"/>
  <c r="B68" i="2"/>
  <c r="A68" i="2"/>
  <c r="M67" i="2"/>
  <c r="L67" i="2"/>
  <c r="M92" i="2" s="1"/>
  <c r="K67" i="2"/>
  <c r="K92" i="2" s="1"/>
  <c r="J67" i="2"/>
  <c r="J92" i="2" s="1"/>
  <c r="H67" i="2"/>
  <c r="H92" i="2" s="1"/>
  <c r="G67" i="2"/>
  <c r="G92" i="2" s="1"/>
  <c r="F67" i="2"/>
  <c r="F92" i="2" s="1"/>
  <c r="E67" i="2"/>
  <c r="E92" i="2" s="1"/>
  <c r="D67" i="2"/>
  <c r="D92" i="2" s="1"/>
  <c r="C67" i="2"/>
  <c r="B67" i="2"/>
  <c r="A67" i="2"/>
  <c r="M66" i="2"/>
  <c r="L66" i="2"/>
  <c r="M91" i="2" s="1"/>
  <c r="K66" i="2"/>
  <c r="K91" i="2" s="1"/>
  <c r="J66" i="2"/>
  <c r="J91" i="2" s="1"/>
  <c r="H66" i="2"/>
  <c r="H91" i="2" s="1"/>
  <c r="G66" i="2"/>
  <c r="G91" i="2" s="1"/>
  <c r="F66" i="2"/>
  <c r="F91" i="2" s="1"/>
  <c r="E66" i="2"/>
  <c r="E91" i="2" s="1"/>
  <c r="D66" i="2"/>
  <c r="D91" i="2" s="1"/>
  <c r="C66" i="2"/>
  <c r="B66" i="2"/>
  <c r="A66" i="2"/>
  <c r="M65" i="2"/>
  <c r="L65" i="2"/>
  <c r="M90" i="2" s="1"/>
  <c r="K65" i="2"/>
  <c r="K90" i="2" s="1"/>
  <c r="J65" i="2"/>
  <c r="J90" i="2" s="1"/>
  <c r="G65" i="2"/>
  <c r="G90" i="2" s="1"/>
  <c r="F65" i="2"/>
  <c r="F90" i="2" s="1"/>
  <c r="E65" i="2"/>
  <c r="E90" i="2" s="1"/>
  <c r="C65" i="2"/>
  <c r="B65" i="2"/>
  <c r="A65" i="2"/>
  <c r="M64" i="2"/>
  <c r="L64" i="2"/>
  <c r="M89" i="2" s="1"/>
  <c r="K64" i="2"/>
  <c r="K89" i="2" s="1"/>
  <c r="J64" i="2"/>
  <c r="J89" i="2" s="1"/>
  <c r="H64" i="2"/>
  <c r="H89" i="2" s="1"/>
  <c r="G64" i="2"/>
  <c r="G89" i="2" s="1"/>
  <c r="F64" i="2"/>
  <c r="F89" i="2" s="1"/>
  <c r="E64" i="2"/>
  <c r="E89" i="2" s="1"/>
  <c r="D64" i="2"/>
  <c r="D89" i="2" s="1"/>
  <c r="C64" i="2"/>
  <c r="B64" i="2"/>
  <c r="A64" i="2"/>
  <c r="M63" i="2"/>
  <c r="L63" i="2"/>
  <c r="M88" i="2" s="1"/>
  <c r="K63" i="2"/>
  <c r="K88" i="2" s="1"/>
  <c r="J63" i="2"/>
  <c r="J88" i="2" s="1"/>
  <c r="H63" i="2"/>
  <c r="H88" i="2" s="1"/>
  <c r="G63" i="2"/>
  <c r="G88" i="2" s="1"/>
  <c r="F63" i="2"/>
  <c r="F88" i="2" s="1"/>
  <c r="E63" i="2"/>
  <c r="E88" i="2" s="1"/>
  <c r="D63" i="2"/>
  <c r="D88" i="2" s="1"/>
  <c r="C63" i="2"/>
  <c r="B63" i="2"/>
  <c r="A63" i="2"/>
  <c r="M62" i="2"/>
  <c r="L62" i="2"/>
  <c r="M87" i="2" s="1"/>
  <c r="K62" i="2"/>
  <c r="K87" i="2" s="1"/>
  <c r="J62" i="2"/>
  <c r="J87" i="2" s="1"/>
  <c r="H62" i="2"/>
  <c r="H87" i="2" s="1"/>
  <c r="G62" i="2"/>
  <c r="G87" i="2" s="1"/>
  <c r="F62" i="2"/>
  <c r="F87" i="2" s="1"/>
  <c r="C62" i="2"/>
  <c r="B62" i="2"/>
  <c r="A62" i="2"/>
  <c r="M61" i="2"/>
  <c r="L61" i="2"/>
  <c r="M86" i="2" s="1"/>
  <c r="K61" i="2"/>
  <c r="K86" i="2" s="1"/>
  <c r="J61" i="2"/>
  <c r="J86" i="2" s="1"/>
  <c r="H61" i="2"/>
  <c r="H86" i="2" s="1"/>
  <c r="G61" i="2"/>
  <c r="G86" i="2" s="1"/>
  <c r="F61" i="2"/>
  <c r="F86" i="2" s="1"/>
  <c r="E61" i="2"/>
  <c r="E86" i="2" s="1"/>
  <c r="D61" i="2"/>
  <c r="D86" i="2" s="1"/>
  <c r="C61" i="2"/>
  <c r="B61" i="2"/>
  <c r="A61" i="2"/>
  <c r="M60" i="2"/>
  <c r="L60" i="2"/>
  <c r="M85" i="2" s="1"/>
  <c r="K60" i="2"/>
  <c r="K85" i="2" s="1"/>
  <c r="J60" i="2"/>
  <c r="J85" i="2" s="1"/>
  <c r="H60" i="2"/>
  <c r="H85" i="2" s="1"/>
  <c r="G60" i="2"/>
  <c r="G85" i="2" s="1"/>
  <c r="F60" i="2"/>
  <c r="F85" i="2" s="1"/>
  <c r="C60" i="2"/>
  <c r="B60" i="2"/>
  <c r="A60" i="2"/>
  <c r="M59" i="2"/>
  <c r="L59" i="2"/>
  <c r="M84" i="2" s="1"/>
  <c r="K59" i="2"/>
  <c r="K84" i="2" s="1"/>
  <c r="J59" i="2"/>
  <c r="J84" i="2" s="1"/>
  <c r="H59" i="2"/>
  <c r="H84" i="2" s="1"/>
  <c r="G59" i="2"/>
  <c r="G84" i="2" s="1"/>
  <c r="F59" i="2"/>
  <c r="F84" i="2" s="1"/>
  <c r="C59" i="2"/>
  <c r="B59" i="2"/>
  <c r="A59" i="2"/>
  <c r="M58" i="2"/>
  <c r="L58" i="2"/>
  <c r="M83" i="2" s="1"/>
  <c r="K58" i="2"/>
  <c r="K83" i="2" s="1"/>
  <c r="J58" i="2"/>
  <c r="J83" i="2" s="1"/>
  <c r="G58" i="2"/>
  <c r="G83" i="2" s="1"/>
  <c r="C58" i="2"/>
  <c r="B58" i="2"/>
  <c r="A58" i="2"/>
  <c r="M57" i="2"/>
  <c r="L57" i="2"/>
  <c r="M82" i="2" s="1"/>
  <c r="K57" i="2"/>
  <c r="K82" i="2" s="1"/>
  <c r="J57" i="2"/>
  <c r="J82" i="2" s="1"/>
  <c r="H57" i="2"/>
  <c r="H82" i="2" s="1"/>
  <c r="G57" i="2"/>
  <c r="G82" i="2" s="1"/>
  <c r="F57" i="2"/>
  <c r="F82" i="2" s="1"/>
  <c r="E57" i="2"/>
  <c r="E82" i="2" s="1"/>
  <c r="D57" i="2"/>
  <c r="D82" i="2" s="1"/>
  <c r="C57" i="2"/>
  <c r="B57" i="2"/>
  <c r="A57" i="2"/>
  <c r="M56" i="2"/>
  <c r="L56" i="2"/>
  <c r="K56" i="2"/>
  <c r="K81" i="2" s="1"/>
  <c r="J56" i="2"/>
  <c r="J81" i="2" s="1"/>
  <c r="H56" i="2"/>
  <c r="H81" i="2" s="1"/>
  <c r="G56" i="2"/>
  <c r="G81" i="2" s="1"/>
  <c r="F56" i="2"/>
  <c r="F81" i="2" s="1"/>
  <c r="E56" i="2"/>
  <c r="E81" i="2" s="1"/>
  <c r="D56" i="2"/>
  <c r="D81" i="2" s="1"/>
  <c r="C56" i="2"/>
  <c r="B56" i="2"/>
  <c r="A56" i="2"/>
  <c r="M55" i="2"/>
  <c r="L55" i="2"/>
  <c r="K55" i="2"/>
  <c r="K80" i="2" s="1"/>
  <c r="J55" i="2"/>
  <c r="J80" i="2" s="1"/>
  <c r="H55" i="2"/>
  <c r="H80" i="2" s="1"/>
  <c r="G55" i="2"/>
  <c r="G80" i="2" s="1"/>
  <c r="F55" i="2"/>
  <c r="F80" i="2" s="1"/>
  <c r="E55" i="2"/>
  <c r="E80" i="2" s="1"/>
  <c r="D55" i="2"/>
  <c r="D80" i="2" s="1"/>
  <c r="C55" i="2"/>
  <c r="B55" i="2"/>
  <c r="A55" i="2"/>
  <c r="M54" i="2"/>
  <c r="L54" i="2"/>
  <c r="K54" i="2"/>
  <c r="K79" i="2" s="1"/>
  <c r="J54" i="2"/>
  <c r="J79" i="2" s="1"/>
  <c r="H54" i="2"/>
  <c r="H79" i="2" s="1"/>
  <c r="G54" i="2"/>
  <c r="G79" i="2" s="1"/>
  <c r="F54" i="2"/>
  <c r="F79" i="2" s="1"/>
  <c r="E54" i="2"/>
  <c r="E79" i="2" s="1"/>
  <c r="D54" i="2"/>
  <c r="D79" i="2" s="1"/>
  <c r="C54" i="2"/>
  <c r="B54" i="2"/>
  <c r="A54" i="2"/>
  <c r="M53" i="2"/>
  <c r="L53" i="2"/>
  <c r="K53" i="2"/>
  <c r="K78" i="2" s="1"/>
  <c r="J53" i="2"/>
  <c r="J78" i="2" s="1"/>
  <c r="H53" i="2"/>
  <c r="H78" i="2" s="1"/>
  <c r="G53" i="2"/>
  <c r="G78" i="2" s="1"/>
  <c r="F53" i="2"/>
  <c r="F78" i="2" s="1"/>
  <c r="E53" i="2"/>
  <c r="E78" i="2" s="1"/>
  <c r="D53" i="2"/>
  <c r="D78" i="2" s="1"/>
  <c r="C53" i="2"/>
  <c r="B53" i="2"/>
  <c r="A53" i="2"/>
  <c r="M50" i="2"/>
  <c r="N50" i="2" s="1"/>
  <c r="L50" i="2"/>
  <c r="K50" i="2"/>
  <c r="H50" i="2"/>
  <c r="I50" i="2" s="1"/>
  <c r="E50" i="2"/>
  <c r="C50" i="2"/>
  <c r="B50" i="2"/>
  <c r="A50" i="2"/>
  <c r="M49" i="2"/>
  <c r="N49" i="2" s="1"/>
  <c r="K49" i="2"/>
  <c r="L49" i="2" s="1"/>
  <c r="I49" i="2"/>
  <c r="H49" i="2"/>
  <c r="E49" i="2"/>
  <c r="C49" i="2"/>
  <c r="B49" i="2"/>
  <c r="A49" i="2"/>
  <c r="M48" i="2"/>
  <c r="N48" i="2" s="1"/>
  <c r="L48" i="2"/>
  <c r="K48" i="2"/>
  <c r="H48" i="2"/>
  <c r="I48" i="2" s="1"/>
  <c r="E48" i="2"/>
  <c r="C48" i="2"/>
  <c r="B48" i="2"/>
  <c r="A48" i="2"/>
  <c r="M47" i="2"/>
  <c r="N47" i="2" s="1"/>
  <c r="K47" i="2"/>
  <c r="L47" i="2" s="1"/>
  <c r="H47" i="2"/>
  <c r="I47" i="2" s="1"/>
  <c r="E47" i="2"/>
  <c r="C47" i="2"/>
  <c r="B47" i="2"/>
  <c r="A47" i="2"/>
  <c r="M46" i="2"/>
  <c r="N46" i="2" s="1"/>
  <c r="L46" i="2"/>
  <c r="K46" i="2"/>
  <c r="I46" i="2"/>
  <c r="H46" i="2"/>
  <c r="E46" i="2"/>
  <c r="C46" i="2"/>
  <c r="B46" i="2"/>
  <c r="A46" i="2"/>
  <c r="N45" i="2"/>
  <c r="M45" i="2"/>
  <c r="K45" i="2"/>
  <c r="L45" i="2" s="1"/>
  <c r="H45" i="2"/>
  <c r="I45" i="2" s="1"/>
  <c r="E45" i="2"/>
  <c r="C45" i="2"/>
  <c r="B45" i="2"/>
  <c r="A45" i="2"/>
  <c r="M44" i="2"/>
  <c r="N44" i="2" s="1"/>
  <c r="L44" i="2"/>
  <c r="K44" i="2"/>
  <c r="I44" i="2"/>
  <c r="H44" i="2"/>
  <c r="E44" i="2"/>
  <c r="C44" i="2"/>
  <c r="B44" i="2"/>
  <c r="A44" i="2"/>
  <c r="N43" i="2"/>
  <c r="M43" i="2"/>
  <c r="K43" i="2"/>
  <c r="L43" i="2" s="1"/>
  <c r="H43" i="2"/>
  <c r="I43" i="2" s="1"/>
  <c r="E43" i="2"/>
  <c r="C43" i="2"/>
  <c r="B43" i="2"/>
  <c r="A43" i="2"/>
  <c r="M42" i="2"/>
  <c r="N42" i="2" s="1"/>
  <c r="L42" i="2"/>
  <c r="K42" i="2"/>
  <c r="I42" i="2"/>
  <c r="H42" i="2"/>
  <c r="E42" i="2"/>
  <c r="C42" i="2"/>
  <c r="B42" i="2"/>
  <c r="A42" i="2"/>
  <c r="N41" i="2"/>
  <c r="M41" i="2"/>
  <c r="K41" i="2"/>
  <c r="L41" i="2" s="1"/>
  <c r="H41" i="2"/>
  <c r="I41" i="2" s="1"/>
  <c r="E41" i="2"/>
  <c r="C41" i="2"/>
  <c r="B41" i="2"/>
  <c r="A41" i="2"/>
  <c r="C40" i="2"/>
  <c r="B40" i="2"/>
  <c r="A40" i="2"/>
  <c r="M39" i="2"/>
  <c r="K39" i="2"/>
  <c r="L39" i="2" s="1"/>
  <c r="C39" i="2"/>
  <c r="B39" i="2"/>
  <c r="A39" i="2"/>
  <c r="M38" i="2"/>
  <c r="N38" i="2" s="1"/>
  <c r="K38" i="2"/>
  <c r="C38" i="2"/>
  <c r="B38" i="2"/>
  <c r="A38" i="2"/>
  <c r="C37" i="2"/>
  <c r="B37" i="2"/>
  <c r="A37" i="2"/>
  <c r="M36" i="2"/>
  <c r="N36" i="2" s="1"/>
  <c r="K36" i="2"/>
  <c r="E36" i="2"/>
  <c r="C36" i="2"/>
  <c r="B36" i="2"/>
  <c r="A36" i="2"/>
  <c r="C35" i="2"/>
  <c r="B35" i="2"/>
  <c r="A35" i="2"/>
  <c r="M34" i="2"/>
  <c r="N34" i="2" s="1"/>
  <c r="C34" i="2"/>
  <c r="B34" i="2"/>
  <c r="A34" i="2"/>
  <c r="C33" i="2"/>
  <c r="B33" i="2"/>
  <c r="A33" i="2"/>
  <c r="M32" i="2"/>
  <c r="N32" i="2" s="1"/>
  <c r="K32" i="2"/>
  <c r="C32" i="2"/>
  <c r="B32" i="2"/>
  <c r="A32" i="2"/>
  <c r="N31" i="2"/>
  <c r="M31" i="2"/>
  <c r="K31" i="2"/>
  <c r="L31" i="2" s="1"/>
  <c r="C31" i="2"/>
  <c r="B31" i="2"/>
  <c r="A31" i="2"/>
  <c r="M30" i="2"/>
  <c r="N30" i="2" s="1"/>
  <c r="K30" i="2"/>
  <c r="C30" i="2"/>
  <c r="B30" i="2"/>
  <c r="A30" i="2"/>
  <c r="N29" i="2"/>
  <c r="M29" i="2"/>
  <c r="K29" i="2"/>
  <c r="L29" i="2" s="1"/>
  <c r="C29" i="2"/>
  <c r="B29" i="2"/>
  <c r="A29" i="2"/>
  <c r="M28" i="2"/>
  <c r="J47" i="2" s="1"/>
  <c r="K28" i="2"/>
  <c r="L38" i="2" s="1"/>
  <c r="C28" i="2"/>
  <c r="B28" i="2"/>
  <c r="A28" i="2"/>
  <c r="F24" i="2"/>
  <c r="F50" i="2" s="1"/>
  <c r="G50" i="2" s="1"/>
  <c r="E24" i="2"/>
  <c r="D24" i="2" s="1"/>
  <c r="F23" i="2"/>
  <c r="F49" i="2" s="1"/>
  <c r="G49" i="2" s="1"/>
  <c r="E23" i="2"/>
  <c r="D23" i="2"/>
  <c r="F22" i="2"/>
  <c r="F48" i="2" s="1"/>
  <c r="G48" i="2" s="1"/>
  <c r="E22" i="2"/>
  <c r="D22" i="2"/>
  <c r="F21" i="2"/>
  <c r="F47" i="2" s="1"/>
  <c r="G47" i="2" s="1"/>
  <c r="E21" i="2"/>
  <c r="D21" i="2" s="1"/>
  <c r="F20" i="2"/>
  <c r="F46" i="2" s="1"/>
  <c r="G46" i="2" s="1"/>
  <c r="E20" i="2"/>
  <c r="D20" i="2" s="1"/>
  <c r="F19" i="2"/>
  <c r="F45" i="2" s="1"/>
  <c r="G45" i="2" s="1"/>
  <c r="E19" i="2"/>
  <c r="D19" i="2"/>
  <c r="F18" i="2"/>
  <c r="F44" i="2" s="1"/>
  <c r="G44" i="2" s="1"/>
  <c r="E18" i="2"/>
  <c r="D18" i="2"/>
  <c r="F17" i="2"/>
  <c r="F43" i="2" s="1"/>
  <c r="G43" i="2" s="1"/>
  <c r="E17" i="2"/>
  <c r="D17" i="2" s="1"/>
  <c r="F16" i="2"/>
  <c r="F42" i="2" s="1"/>
  <c r="G42" i="2" s="1"/>
  <c r="E16" i="2"/>
  <c r="D16" i="2" s="1"/>
  <c r="F15" i="2"/>
  <c r="F41" i="2" s="1"/>
  <c r="G41" i="2" s="1"/>
  <c r="E15" i="2"/>
  <c r="D15" i="2"/>
  <c r="Z14" i="2"/>
  <c r="Y14" i="2"/>
  <c r="K40" i="2" s="1"/>
  <c r="L40" i="2" s="1"/>
  <c r="P14" i="2"/>
  <c r="O14" i="2"/>
  <c r="H65" i="2" s="1"/>
  <c r="H90" i="2" s="1"/>
  <c r="H14" i="2"/>
  <c r="G14" i="2"/>
  <c r="E14" i="2"/>
  <c r="E40" i="2" s="1"/>
  <c r="F13" i="2"/>
  <c r="H39" i="2" s="1"/>
  <c r="E13" i="2"/>
  <c r="E39" i="2" s="1"/>
  <c r="D13" i="2"/>
  <c r="F12" i="2"/>
  <c r="F38" i="2" s="1"/>
  <c r="E12" i="2"/>
  <c r="E38" i="2" s="1"/>
  <c r="D12" i="2"/>
  <c r="Z11" i="2"/>
  <c r="Y11" i="2"/>
  <c r="M37" i="2" s="1"/>
  <c r="N37" i="2" s="1"/>
  <c r="J11" i="2"/>
  <c r="I11" i="2"/>
  <c r="E62" i="2" s="1"/>
  <c r="E87" i="2" s="1"/>
  <c r="H11" i="2"/>
  <c r="E11" i="2" s="1"/>
  <c r="G11" i="2"/>
  <c r="F10" i="2"/>
  <c r="F36" i="2" s="1"/>
  <c r="G36" i="2" s="1"/>
  <c r="E10" i="2"/>
  <c r="D10" i="2"/>
  <c r="Z9" i="2"/>
  <c r="Y9" i="2"/>
  <c r="M35" i="2" s="1"/>
  <c r="J9" i="2"/>
  <c r="I9" i="2"/>
  <c r="E60" i="2" s="1"/>
  <c r="E85" i="2" s="1"/>
  <c r="H9" i="2"/>
  <c r="E9" i="2" s="1"/>
  <c r="G9" i="2"/>
  <c r="Z8" i="2"/>
  <c r="Y8" i="2"/>
  <c r="K34" i="2" s="1"/>
  <c r="L34" i="2" s="1"/>
  <c r="J8" i="2"/>
  <c r="I8" i="2"/>
  <c r="E59" i="2" s="1"/>
  <c r="E84" i="2" s="1"/>
  <c r="H8" i="2"/>
  <c r="G8" i="2"/>
  <c r="E8" i="2"/>
  <c r="E34" i="2" s="1"/>
  <c r="Z7" i="2"/>
  <c r="Y7" i="2"/>
  <c r="M33" i="2" s="1"/>
  <c r="P7" i="2"/>
  <c r="O7" i="2"/>
  <c r="L7" i="2"/>
  <c r="K7" i="2"/>
  <c r="F7" i="2" s="1"/>
  <c r="J7" i="2"/>
  <c r="E58" i="2" s="1"/>
  <c r="E83" i="2" s="1"/>
  <c r="H7" i="2"/>
  <c r="G7" i="2"/>
  <c r="F6" i="2"/>
  <c r="F32" i="2" s="1"/>
  <c r="E6" i="2"/>
  <c r="E32" i="2" s="1"/>
  <c r="D6" i="2"/>
  <c r="F5" i="2"/>
  <c r="H31" i="2" s="1"/>
  <c r="E5" i="2"/>
  <c r="E31" i="2" s="1"/>
  <c r="D5" i="2"/>
  <c r="F4" i="2"/>
  <c r="F30" i="2" s="1"/>
  <c r="E4" i="2"/>
  <c r="D4" i="2" s="1"/>
  <c r="F3" i="2"/>
  <c r="H29" i="2" s="1"/>
  <c r="E3" i="2"/>
  <c r="E29" i="2" s="1"/>
  <c r="F2" i="2"/>
  <c r="F28" i="2" s="1"/>
  <c r="E2" i="2"/>
  <c r="E28" i="2" s="1"/>
  <c r="D2" i="2"/>
  <c r="G32" i="2" l="1"/>
  <c r="H33" i="2"/>
  <c r="N33" i="2"/>
  <c r="N35" i="2"/>
  <c r="G30" i="2"/>
  <c r="E35" i="2"/>
  <c r="D9" i="2"/>
  <c r="G38" i="2"/>
  <c r="E37" i="2"/>
  <c r="D11" i="2"/>
  <c r="D3" i="2"/>
  <c r="H58" i="2"/>
  <c r="H83" i="2" s="1"/>
  <c r="D8" i="2"/>
  <c r="D60" i="2"/>
  <c r="D85" i="2" s="1"/>
  <c r="D62" i="2"/>
  <c r="D87" i="2" s="1"/>
  <c r="D14" i="2"/>
  <c r="H28" i="2"/>
  <c r="I39" i="2" s="1"/>
  <c r="F29" i="2"/>
  <c r="G29" i="2" s="1"/>
  <c r="J29" i="2"/>
  <c r="H30" i="2"/>
  <c r="L30" i="2"/>
  <c r="F31" i="2"/>
  <c r="G31" i="2" s="1"/>
  <c r="J31" i="2"/>
  <c r="H32" i="2"/>
  <c r="L32" i="2"/>
  <c r="H36" i="2"/>
  <c r="I36" i="2" s="1"/>
  <c r="L36" i="2"/>
  <c r="H38" i="2"/>
  <c r="I38" i="2" s="1"/>
  <c r="F39" i="2"/>
  <c r="G39" i="2" s="1"/>
  <c r="J39" i="2"/>
  <c r="N39" i="2"/>
  <c r="J41" i="2"/>
  <c r="J43" i="2"/>
  <c r="J45" i="2"/>
  <c r="M78" i="2"/>
  <c r="L78" i="2"/>
  <c r="M79" i="2"/>
  <c r="L79" i="2"/>
  <c r="M80" i="2"/>
  <c r="L80" i="2"/>
  <c r="M81" i="2"/>
  <c r="L81" i="2"/>
  <c r="E30" i="2"/>
  <c r="K33" i="2"/>
  <c r="L33" i="2" s="1"/>
  <c r="K35" i="2"/>
  <c r="L35" i="2" s="1"/>
  <c r="K37" i="2"/>
  <c r="L37" i="2" s="1"/>
  <c r="M40" i="2"/>
  <c r="N40" i="2" s="1"/>
  <c r="F58" i="2"/>
  <c r="F83" i="2" s="1"/>
  <c r="E7" i="2"/>
  <c r="F14" i="2"/>
  <c r="J50" i="2"/>
  <c r="J48" i="2"/>
  <c r="J30" i="2"/>
  <c r="J32" i="2"/>
  <c r="J34" i="2"/>
  <c r="J36" i="2"/>
  <c r="J38" i="2"/>
  <c r="J40" i="2"/>
  <c r="J42" i="2"/>
  <c r="J44" i="2"/>
  <c r="J46" i="2"/>
  <c r="F8" i="2"/>
  <c r="D58" i="2"/>
  <c r="D83" i="2" s="1"/>
  <c r="D59" i="2"/>
  <c r="D84" i="2" s="1"/>
  <c r="F9" i="2"/>
  <c r="F11" i="2"/>
  <c r="D65" i="2"/>
  <c r="D90" i="2" s="1"/>
  <c r="J49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E33" i="2" l="1"/>
  <c r="D7" i="2"/>
  <c r="I33" i="2"/>
  <c r="D49" i="2"/>
  <c r="D48" i="2"/>
  <c r="D50" i="2"/>
  <c r="D47" i="2"/>
  <c r="D45" i="2"/>
  <c r="D43" i="2"/>
  <c r="D41" i="2"/>
  <c r="D39" i="2"/>
  <c r="D31" i="2"/>
  <c r="D29" i="2"/>
  <c r="D46" i="2"/>
  <c r="D44" i="2"/>
  <c r="D42" i="2"/>
  <c r="D38" i="2"/>
  <c r="D36" i="2"/>
  <c r="D32" i="2"/>
  <c r="D30" i="2"/>
  <c r="J33" i="2"/>
  <c r="H35" i="2"/>
  <c r="I35" i="2" s="1"/>
  <c r="F35" i="2"/>
  <c r="G35" i="2" s="1"/>
  <c r="J37" i="2"/>
  <c r="I32" i="2"/>
  <c r="I30" i="2"/>
  <c r="J35" i="2"/>
  <c r="I29" i="2"/>
  <c r="H37" i="2"/>
  <c r="I37" i="2" s="1"/>
  <c r="F37" i="2"/>
  <c r="G37" i="2" s="1"/>
  <c r="F34" i="2"/>
  <c r="G34" i="2" s="1"/>
  <c r="H34" i="2"/>
  <c r="I34" i="2" s="1"/>
  <c r="F40" i="2"/>
  <c r="G40" i="2" s="1"/>
  <c r="H40" i="2"/>
  <c r="I40" i="2" s="1"/>
  <c r="F33" i="2"/>
  <c r="G33" i="2" s="1"/>
  <c r="I31" i="2"/>
  <c r="D40" i="2" l="1"/>
  <c r="D37" i="2"/>
  <c r="D34" i="2"/>
  <c r="D33" i="2"/>
  <c r="D35" i="2"/>
  <c r="Z14" i="1" l="1"/>
  <c r="Y14" i="1"/>
  <c r="H14" i="1" l="1"/>
  <c r="P14" i="1" l="1"/>
  <c r="O14" i="1"/>
  <c r="G9" i="1"/>
  <c r="G11" i="1"/>
  <c r="AI11" i="1" l="1"/>
  <c r="BA11" i="1"/>
  <c r="AI9" i="1"/>
  <c r="BA9" i="1"/>
  <c r="C100" i="1"/>
  <c r="B100" i="1"/>
  <c r="A100" i="1"/>
  <c r="C99" i="1"/>
  <c r="B99" i="1"/>
  <c r="A99" i="1"/>
  <c r="C98" i="1"/>
  <c r="B98" i="1"/>
  <c r="A98" i="1"/>
  <c r="C97" i="1"/>
  <c r="B97" i="1"/>
  <c r="A97" i="1"/>
  <c r="C96" i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A88" i="1"/>
  <c r="C87" i="1"/>
  <c r="B87" i="1"/>
  <c r="A87" i="1"/>
  <c r="C86" i="1"/>
  <c r="B86" i="1"/>
  <c r="A86" i="1"/>
  <c r="C85" i="1"/>
  <c r="B85" i="1"/>
  <c r="A85" i="1"/>
  <c r="C84" i="1"/>
  <c r="B84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M75" i="1"/>
  <c r="L75" i="1"/>
  <c r="M100" i="1" s="1"/>
  <c r="K75" i="1"/>
  <c r="K100" i="1" s="1"/>
  <c r="J75" i="1"/>
  <c r="J100" i="1" s="1"/>
  <c r="H75" i="1"/>
  <c r="H100" i="1" s="1"/>
  <c r="G75" i="1"/>
  <c r="G100" i="1" s="1"/>
  <c r="F75" i="1"/>
  <c r="F100" i="1" s="1"/>
  <c r="E75" i="1"/>
  <c r="E100" i="1" s="1"/>
  <c r="D75" i="1"/>
  <c r="D100" i="1" s="1"/>
  <c r="C75" i="1"/>
  <c r="B75" i="1"/>
  <c r="A75" i="1"/>
  <c r="M74" i="1"/>
  <c r="L74" i="1"/>
  <c r="L99" i="1" s="1"/>
  <c r="K74" i="1"/>
  <c r="K99" i="1" s="1"/>
  <c r="J74" i="1"/>
  <c r="J99" i="1" s="1"/>
  <c r="H74" i="1"/>
  <c r="H99" i="1" s="1"/>
  <c r="G74" i="1"/>
  <c r="G99" i="1" s="1"/>
  <c r="F74" i="1"/>
  <c r="F99" i="1" s="1"/>
  <c r="E74" i="1"/>
  <c r="E99" i="1" s="1"/>
  <c r="D74" i="1"/>
  <c r="D99" i="1" s="1"/>
  <c r="C74" i="1"/>
  <c r="B74" i="1"/>
  <c r="A74" i="1"/>
  <c r="M73" i="1"/>
  <c r="L73" i="1"/>
  <c r="M98" i="1" s="1"/>
  <c r="K73" i="1"/>
  <c r="K98" i="1" s="1"/>
  <c r="J73" i="1"/>
  <c r="J98" i="1" s="1"/>
  <c r="H73" i="1"/>
  <c r="H98" i="1" s="1"/>
  <c r="G73" i="1"/>
  <c r="G98" i="1" s="1"/>
  <c r="F73" i="1"/>
  <c r="F98" i="1" s="1"/>
  <c r="E73" i="1"/>
  <c r="E98" i="1" s="1"/>
  <c r="D73" i="1"/>
  <c r="D98" i="1" s="1"/>
  <c r="C73" i="1"/>
  <c r="B73" i="1"/>
  <c r="A73" i="1"/>
  <c r="M72" i="1"/>
  <c r="L72" i="1"/>
  <c r="M97" i="1" s="1"/>
  <c r="K72" i="1"/>
  <c r="K97" i="1" s="1"/>
  <c r="J72" i="1"/>
  <c r="J97" i="1" s="1"/>
  <c r="H72" i="1"/>
  <c r="H97" i="1" s="1"/>
  <c r="G72" i="1"/>
  <c r="G97" i="1" s="1"/>
  <c r="F72" i="1"/>
  <c r="F97" i="1" s="1"/>
  <c r="E72" i="1"/>
  <c r="E97" i="1" s="1"/>
  <c r="D72" i="1"/>
  <c r="D97" i="1" s="1"/>
  <c r="C72" i="1"/>
  <c r="B72" i="1"/>
  <c r="A72" i="1"/>
  <c r="M71" i="1"/>
  <c r="L71" i="1"/>
  <c r="M96" i="1" s="1"/>
  <c r="K71" i="1"/>
  <c r="K96" i="1" s="1"/>
  <c r="J71" i="1"/>
  <c r="J96" i="1" s="1"/>
  <c r="H71" i="1"/>
  <c r="H96" i="1" s="1"/>
  <c r="G71" i="1"/>
  <c r="G96" i="1" s="1"/>
  <c r="F71" i="1"/>
  <c r="F96" i="1" s="1"/>
  <c r="E71" i="1"/>
  <c r="E96" i="1" s="1"/>
  <c r="D71" i="1"/>
  <c r="D96" i="1" s="1"/>
  <c r="C71" i="1"/>
  <c r="B71" i="1"/>
  <c r="A71" i="1"/>
  <c r="M70" i="1"/>
  <c r="L70" i="1"/>
  <c r="M95" i="1" s="1"/>
  <c r="K70" i="1"/>
  <c r="K95" i="1" s="1"/>
  <c r="J70" i="1"/>
  <c r="J95" i="1" s="1"/>
  <c r="H70" i="1"/>
  <c r="H95" i="1" s="1"/>
  <c r="G70" i="1"/>
  <c r="G95" i="1" s="1"/>
  <c r="F70" i="1"/>
  <c r="F95" i="1" s="1"/>
  <c r="E70" i="1"/>
  <c r="E95" i="1" s="1"/>
  <c r="D70" i="1"/>
  <c r="D95" i="1" s="1"/>
  <c r="C70" i="1"/>
  <c r="B70" i="1"/>
  <c r="A70" i="1"/>
  <c r="M69" i="1"/>
  <c r="L69" i="1"/>
  <c r="M94" i="1" s="1"/>
  <c r="K69" i="1"/>
  <c r="K94" i="1" s="1"/>
  <c r="J69" i="1"/>
  <c r="J94" i="1" s="1"/>
  <c r="H69" i="1"/>
  <c r="H94" i="1" s="1"/>
  <c r="G69" i="1"/>
  <c r="G94" i="1" s="1"/>
  <c r="F69" i="1"/>
  <c r="F94" i="1" s="1"/>
  <c r="E69" i="1"/>
  <c r="E94" i="1" s="1"/>
  <c r="D69" i="1"/>
  <c r="D94" i="1" s="1"/>
  <c r="C69" i="1"/>
  <c r="B69" i="1"/>
  <c r="A69" i="1"/>
  <c r="M68" i="1"/>
  <c r="L68" i="1"/>
  <c r="M93" i="1" s="1"/>
  <c r="K68" i="1"/>
  <c r="K93" i="1" s="1"/>
  <c r="J68" i="1"/>
  <c r="J93" i="1" s="1"/>
  <c r="H68" i="1"/>
  <c r="H93" i="1" s="1"/>
  <c r="G68" i="1"/>
  <c r="G93" i="1" s="1"/>
  <c r="F68" i="1"/>
  <c r="F93" i="1" s="1"/>
  <c r="E68" i="1"/>
  <c r="E93" i="1" s="1"/>
  <c r="D68" i="1"/>
  <c r="D93" i="1" s="1"/>
  <c r="C68" i="1"/>
  <c r="B68" i="1"/>
  <c r="A68" i="1"/>
  <c r="M67" i="1"/>
  <c r="L67" i="1"/>
  <c r="M92" i="1" s="1"/>
  <c r="K67" i="1"/>
  <c r="K92" i="1" s="1"/>
  <c r="J67" i="1"/>
  <c r="J92" i="1" s="1"/>
  <c r="H67" i="1"/>
  <c r="H92" i="1" s="1"/>
  <c r="G67" i="1"/>
  <c r="G92" i="1" s="1"/>
  <c r="F67" i="1"/>
  <c r="F92" i="1" s="1"/>
  <c r="E67" i="1"/>
  <c r="E92" i="1" s="1"/>
  <c r="D67" i="1"/>
  <c r="D92" i="1" s="1"/>
  <c r="C67" i="1"/>
  <c r="B67" i="1"/>
  <c r="A67" i="1"/>
  <c r="M66" i="1"/>
  <c r="L66" i="1"/>
  <c r="L91" i="1" s="1"/>
  <c r="K66" i="1"/>
  <c r="K91" i="1" s="1"/>
  <c r="J66" i="1"/>
  <c r="J91" i="1" s="1"/>
  <c r="H66" i="1"/>
  <c r="H91" i="1" s="1"/>
  <c r="G66" i="1"/>
  <c r="G91" i="1" s="1"/>
  <c r="F66" i="1"/>
  <c r="F91" i="1" s="1"/>
  <c r="E66" i="1"/>
  <c r="E91" i="1" s="1"/>
  <c r="D66" i="1"/>
  <c r="D91" i="1" s="1"/>
  <c r="C66" i="1"/>
  <c r="B66" i="1"/>
  <c r="A66" i="1"/>
  <c r="M65" i="1"/>
  <c r="L65" i="1"/>
  <c r="M90" i="1" s="1"/>
  <c r="K65" i="1"/>
  <c r="K90" i="1" s="1"/>
  <c r="J65" i="1"/>
  <c r="J90" i="1" s="1"/>
  <c r="H65" i="1"/>
  <c r="H90" i="1" s="1"/>
  <c r="G65" i="1"/>
  <c r="G90" i="1" s="1"/>
  <c r="F65" i="1"/>
  <c r="F90" i="1" s="1"/>
  <c r="E65" i="1"/>
  <c r="E90" i="1" s="1"/>
  <c r="D65" i="1"/>
  <c r="D90" i="1" s="1"/>
  <c r="C65" i="1"/>
  <c r="B65" i="1"/>
  <c r="A65" i="1"/>
  <c r="M64" i="1"/>
  <c r="L64" i="1"/>
  <c r="M89" i="1" s="1"/>
  <c r="K64" i="1"/>
  <c r="K89" i="1" s="1"/>
  <c r="J64" i="1"/>
  <c r="J89" i="1" s="1"/>
  <c r="H64" i="1"/>
  <c r="H89" i="1" s="1"/>
  <c r="G64" i="1"/>
  <c r="G89" i="1" s="1"/>
  <c r="F64" i="1"/>
  <c r="F89" i="1" s="1"/>
  <c r="E64" i="1"/>
  <c r="E89" i="1" s="1"/>
  <c r="D64" i="1"/>
  <c r="D89" i="1" s="1"/>
  <c r="C64" i="1"/>
  <c r="B64" i="1"/>
  <c r="A64" i="1"/>
  <c r="M63" i="1"/>
  <c r="L63" i="1"/>
  <c r="M88" i="1" s="1"/>
  <c r="K63" i="1"/>
  <c r="K88" i="1" s="1"/>
  <c r="J63" i="1"/>
  <c r="J88" i="1" s="1"/>
  <c r="H63" i="1"/>
  <c r="H88" i="1" s="1"/>
  <c r="G63" i="1"/>
  <c r="G88" i="1" s="1"/>
  <c r="F63" i="1"/>
  <c r="F88" i="1" s="1"/>
  <c r="E63" i="1"/>
  <c r="E88" i="1" s="1"/>
  <c r="D63" i="1"/>
  <c r="D88" i="1" s="1"/>
  <c r="C63" i="1"/>
  <c r="B63" i="1"/>
  <c r="A63" i="1"/>
  <c r="M62" i="1"/>
  <c r="L62" i="1"/>
  <c r="M87" i="1" s="1"/>
  <c r="K62" i="1"/>
  <c r="K87" i="1" s="1"/>
  <c r="J62" i="1"/>
  <c r="J87" i="1" s="1"/>
  <c r="H62" i="1"/>
  <c r="H87" i="1" s="1"/>
  <c r="G62" i="1"/>
  <c r="G87" i="1" s="1"/>
  <c r="F62" i="1"/>
  <c r="F87" i="1" s="1"/>
  <c r="C62" i="1"/>
  <c r="B62" i="1"/>
  <c r="A62" i="1"/>
  <c r="M61" i="1"/>
  <c r="L61" i="1"/>
  <c r="M86" i="1" s="1"/>
  <c r="K61" i="1"/>
  <c r="K86" i="1" s="1"/>
  <c r="J61" i="1"/>
  <c r="J86" i="1" s="1"/>
  <c r="H61" i="1"/>
  <c r="H86" i="1" s="1"/>
  <c r="G61" i="1"/>
  <c r="G86" i="1" s="1"/>
  <c r="F61" i="1"/>
  <c r="F86" i="1" s="1"/>
  <c r="E61" i="1"/>
  <c r="E86" i="1" s="1"/>
  <c r="D61" i="1"/>
  <c r="D86" i="1" s="1"/>
  <c r="C61" i="1"/>
  <c r="B61" i="1"/>
  <c r="A61" i="1"/>
  <c r="M60" i="1"/>
  <c r="L60" i="1"/>
  <c r="L85" i="1" s="1"/>
  <c r="K60" i="1"/>
  <c r="K85" i="1" s="1"/>
  <c r="J60" i="1"/>
  <c r="J85" i="1" s="1"/>
  <c r="H60" i="1"/>
  <c r="H85" i="1" s="1"/>
  <c r="G60" i="1"/>
  <c r="G85" i="1" s="1"/>
  <c r="F60" i="1"/>
  <c r="F85" i="1" s="1"/>
  <c r="C60" i="1"/>
  <c r="B60" i="1"/>
  <c r="A60" i="1"/>
  <c r="M59" i="1"/>
  <c r="L59" i="1"/>
  <c r="M84" i="1" s="1"/>
  <c r="K59" i="1"/>
  <c r="K84" i="1" s="1"/>
  <c r="J59" i="1"/>
  <c r="J84" i="1" s="1"/>
  <c r="H59" i="1"/>
  <c r="H84" i="1" s="1"/>
  <c r="G59" i="1"/>
  <c r="G84" i="1" s="1"/>
  <c r="F59" i="1"/>
  <c r="F84" i="1" s="1"/>
  <c r="C59" i="1"/>
  <c r="B59" i="1"/>
  <c r="A59" i="1"/>
  <c r="M58" i="1"/>
  <c r="L58" i="1"/>
  <c r="M83" i="1" s="1"/>
  <c r="K58" i="1"/>
  <c r="K83" i="1" s="1"/>
  <c r="J58" i="1"/>
  <c r="J83" i="1" s="1"/>
  <c r="G58" i="1"/>
  <c r="G83" i="1" s="1"/>
  <c r="C58" i="1"/>
  <c r="B58" i="1"/>
  <c r="A58" i="1"/>
  <c r="M57" i="1"/>
  <c r="L57" i="1"/>
  <c r="M82" i="1" s="1"/>
  <c r="K57" i="1"/>
  <c r="K82" i="1" s="1"/>
  <c r="J57" i="1"/>
  <c r="J82" i="1" s="1"/>
  <c r="H57" i="1"/>
  <c r="H82" i="1" s="1"/>
  <c r="G57" i="1"/>
  <c r="G82" i="1" s="1"/>
  <c r="F57" i="1"/>
  <c r="F82" i="1" s="1"/>
  <c r="E57" i="1"/>
  <c r="E82" i="1" s="1"/>
  <c r="D57" i="1"/>
  <c r="D82" i="1" s="1"/>
  <c r="C57" i="1"/>
  <c r="B57" i="1"/>
  <c r="A57" i="1"/>
  <c r="M56" i="1"/>
  <c r="L56" i="1"/>
  <c r="M81" i="1" s="1"/>
  <c r="K56" i="1"/>
  <c r="K81" i="1" s="1"/>
  <c r="J56" i="1"/>
  <c r="J81" i="1" s="1"/>
  <c r="H56" i="1"/>
  <c r="H81" i="1" s="1"/>
  <c r="G56" i="1"/>
  <c r="G81" i="1" s="1"/>
  <c r="F56" i="1"/>
  <c r="F81" i="1" s="1"/>
  <c r="E56" i="1"/>
  <c r="E81" i="1" s="1"/>
  <c r="D56" i="1"/>
  <c r="D81" i="1" s="1"/>
  <c r="C56" i="1"/>
  <c r="B56" i="1"/>
  <c r="A56" i="1"/>
  <c r="M55" i="1"/>
  <c r="L55" i="1"/>
  <c r="M80" i="1" s="1"/>
  <c r="K55" i="1"/>
  <c r="K80" i="1" s="1"/>
  <c r="J55" i="1"/>
  <c r="J80" i="1" s="1"/>
  <c r="H55" i="1"/>
  <c r="H80" i="1" s="1"/>
  <c r="G55" i="1"/>
  <c r="G80" i="1" s="1"/>
  <c r="F55" i="1"/>
  <c r="F80" i="1" s="1"/>
  <c r="E55" i="1"/>
  <c r="E80" i="1" s="1"/>
  <c r="D55" i="1"/>
  <c r="D80" i="1" s="1"/>
  <c r="C55" i="1"/>
  <c r="B55" i="1"/>
  <c r="A55" i="1"/>
  <c r="M54" i="1"/>
  <c r="L54" i="1"/>
  <c r="M79" i="1" s="1"/>
  <c r="K54" i="1"/>
  <c r="K79" i="1" s="1"/>
  <c r="J54" i="1"/>
  <c r="J79" i="1" s="1"/>
  <c r="H54" i="1"/>
  <c r="H79" i="1" s="1"/>
  <c r="G54" i="1"/>
  <c r="G79" i="1" s="1"/>
  <c r="F54" i="1"/>
  <c r="F79" i="1" s="1"/>
  <c r="E54" i="1"/>
  <c r="E79" i="1" s="1"/>
  <c r="D54" i="1"/>
  <c r="D79" i="1" s="1"/>
  <c r="C54" i="1"/>
  <c r="B54" i="1"/>
  <c r="A54" i="1"/>
  <c r="M53" i="1"/>
  <c r="L53" i="1"/>
  <c r="M78" i="1" s="1"/>
  <c r="K53" i="1"/>
  <c r="K78" i="1" s="1"/>
  <c r="J53" i="1"/>
  <c r="J78" i="1" s="1"/>
  <c r="H53" i="1"/>
  <c r="H78" i="1" s="1"/>
  <c r="G53" i="1"/>
  <c r="G78" i="1" s="1"/>
  <c r="F53" i="1"/>
  <c r="F78" i="1" s="1"/>
  <c r="E53" i="1"/>
  <c r="E78" i="1" s="1"/>
  <c r="D53" i="1"/>
  <c r="D78" i="1" s="1"/>
  <c r="C53" i="1"/>
  <c r="B53" i="1"/>
  <c r="A53" i="1"/>
  <c r="M50" i="1"/>
  <c r="N50" i="1" s="1"/>
  <c r="K50" i="1"/>
  <c r="L50" i="1" s="1"/>
  <c r="H50" i="1"/>
  <c r="I50" i="1" s="1"/>
  <c r="E50" i="1"/>
  <c r="C50" i="1"/>
  <c r="B50" i="1"/>
  <c r="A50" i="1"/>
  <c r="M49" i="1"/>
  <c r="N49" i="1" s="1"/>
  <c r="K49" i="1"/>
  <c r="L49" i="1" s="1"/>
  <c r="H49" i="1"/>
  <c r="I49" i="1" s="1"/>
  <c r="E49" i="1"/>
  <c r="C49" i="1"/>
  <c r="B49" i="1"/>
  <c r="A49" i="1"/>
  <c r="M48" i="1"/>
  <c r="N48" i="1" s="1"/>
  <c r="K48" i="1"/>
  <c r="L48" i="1" s="1"/>
  <c r="H48" i="1"/>
  <c r="I48" i="1" s="1"/>
  <c r="E48" i="1"/>
  <c r="C48" i="1"/>
  <c r="B48" i="1"/>
  <c r="A48" i="1"/>
  <c r="M47" i="1"/>
  <c r="N47" i="1" s="1"/>
  <c r="K47" i="1"/>
  <c r="L47" i="1" s="1"/>
  <c r="H47" i="1"/>
  <c r="I47" i="1" s="1"/>
  <c r="E47" i="1"/>
  <c r="C47" i="1"/>
  <c r="B47" i="1"/>
  <c r="A47" i="1"/>
  <c r="M46" i="1"/>
  <c r="N46" i="1" s="1"/>
  <c r="K46" i="1"/>
  <c r="L46" i="1" s="1"/>
  <c r="H46" i="1"/>
  <c r="I46" i="1" s="1"/>
  <c r="E46" i="1"/>
  <c r="C46" i="1"/>
  <c r="B46" i="1"/>
  <c r="A46" i="1"/>
  <c r="M45" i="1"/>
  <c r="N45" i="1" s="1"/>
  <c r="K45" i="1"/>
  <c r="L45" i="1" s="1"/>
  <c r="H45" i="1"/>
  <c r="I45" i="1" s="1"/>
  <c r="E45" i="1"/>
  <c r="C45" i="1"/>
  <c r="B45" i="1"/>
  <c r="A45" i="1"/>
  <c r="M44" i="1"/>
  <c r="N44" i="1" s="1"/>
  <c r="K44" i="1"/>
  <c r="L44" i="1" s="1"/>
  <c r="H44" i="1"/>
  <c r="I44" i="1" s="1"/>
  <c r="E44" i="1"/>
  <c r="C44" i="1"/>
  <c r="B44" i="1"/>
  <c r="A44" i="1"/>
  <c r="M43" i="1"/>
  <c r="N43" i="1" s="1"/>
  <c r="K43" i="1"/>
  <c r="L43" i="1" s="1"/>
  <c r="H43" i="1"/>
  <c r="I43" i="1" s="1"/>
  <c r="E43" i="1"/>
  <c r="C43" i="1"/>
  <c r="B43" i="1"/>
  <c r="A43" i="1"/>
  <c r="M42" i="1"/>
  <c r="N42" i="1" s="1"/>
  <c r="K42" i="1"/>
  <c r="L42" i="1" s="1"/>
  <c r="C42" i="1"/>
  <c r="B42" i="1"/>
  <c r="A42" i="1"/>
  <c r="C41" i="1"/>
  <c r="B41" i="1"/>
  <c r="A41" i="1"/>
  <c r="M40" i="1"/>
  <c r="K40" i="1"/>
  <c r="C40" i="1"/>
  <c r="B40" i="1"/>
  <c r="A40" i="1"/>
  <c r="M39" i="1"/>
  <c r="K39" i="1"/>
  <c r="C39" i="1"/>
  <c r="B39" i="1"/>
  <c r="A39" i="1"/>
  <c r="M38" i="1"/>
  <c r="K38" i="1"/>
  <c r="C38" i="1"/>
  <c r="B38" i="1"/>
  <c r="A38" i="1"/>
  <c r="C37" i="1"/>
  <c r="B37" i="1"/>
  <c r="A37" i="1"/>
  <c r="M36" i="1"/>
  <c r="K36" i="1"/>
  <c r="C36" i="1"/>
  <c r="B36" i="1"/>
  <c r="A36" i="1"/>
  <c r="C35" i="1"/>
  <c r="B35" i="1"/>
  <c r="A35" i="1"/>
  <c r="C34" i="1"/>
  <c r="B34" i="1"/>
  <c r="A34" i="1"/>
  <c r="C33" i="1"/>
  <c r="B33" i="1"/>
  <c r="A33" i="1"/>
  <c r="M32" i="1"/>
  <c r="K32" i="1"/>
  <c r="C32" i="1"/>
  <c r="B32" i="1"/>
  <c r="A32" i="1"/>
  <c r="M31" i="1"/>
  <c r="K31" i="1"/>
  <c r="C31" i="1"/>
  <c r="B31" i="1"/>
  <c r="A31" i="1"/>
  <c r="M30" i="1"/>
  <c r="K30" i="1"/>
  <c r="C30" i="1"/>
  <c r="B30" i="1"/>
  <c r="A30" i="1"/>
  <c r="M29" i="1"/>
  <c r="K29" i="1"/>
  <c r="C29" i="1"/>
  <c r="B29" i="1"/>
  <c r="A29" i="1"/>
  <c r="M28" i="1"/>
  <c r="N41" i="1" s="1"/>
  <c r="K28" i="1"/>
  <c r="L32" i="1" s="1"/>
  <c r="C28" i="1"/>
  <c r="B28" i="1"/>
  <c r="A28" i="1"/>
  <c r="F24" i="1"/>
  <c r="F50" i="1" s="1"/>
  <c r="G50" i="1" s="1"/>
  <c r="E24" i="1"/>
  <c r="D24" i="1" s="1"/>
  <c r="F23" i="1"/>
  <c r="F49" i="1" s="1"/>
  <c r="G49" i="1" s="1"/>
  <c r="E23" i="1"/>
  <c r="D23" i="1" s="1"/>
  <c r="F22" i="1"/>
  <c r="F48" i="1" s="1"/>
  <c r="G48" i="1" s="1"/>
  <c r="E22" i="1"/>
  <c r="D22" i="1" s="1"/>
  <c r="F21" i="1"/>
  <c r="F47" i="1" s="1"/>
  <c r="G47" i="1" s="1"/>
  <c r="E21" i="1"/>
  <c r="D21" i="1" s="1"/>
  <c r="F20" i="1"/>
  <c r="F46" i="1" s="1"/>
  <c r="G46" i="1" s="1"/>
  <c r="E20" i="1"/>
  <c r="D20" i="1" s="1"/>
  <c r="F19" i="1"/>
  <c r="F45" i="1" s="1"/>
  <c r="G45" i="1" s="1"/>
  <c r="E19" i="1"/>
  <c r="D19" i="1" s="1"/>
  <c r="F18" i="1"/>
  <c r="F44" i="1" s="1"/>
  <c r="G44" i="1" s="1"/>
  <c r="E18" i="1"/>
  <c r="D18" i="1" s="1"/>
  <c r="F17" i="1"/>
  <c r="F43" i="1" s="1"/>
  <c r="G43" i="1" s="1"/>
  <c r="E17" i="1"/>
  <c r="D17" i="1" s="1"/>
  <c r="F16" i="1"/>
  <c r="H42" i="1" s="1"/>
  <c r="I42" i="1" s="1"/>
  <c r="E16" i="1"/>
  <c r="D16" i="1" s="1"/>
  <c r="F15" i="1"/>
  <c r="E15" i="1"/>
  <c r="F14" i="1"/>
  <c r="BH14" i="1" s="1"/>
  <c r="E14" i="1"/>
  <c r="F13" i="1"/>
  <c r="E13" i="1"/>
  <c r="F12" i="1"/>
  <c r="E12" i="1"/>
  <c r="Z11" i="1"/>
  <c r="Y11" i="1"/>
  <c r="J11" i="1"/>
  <c r="I11" i="1"/>
  <c r="AK11" i="1" s="1"/>
  <c r="AV11" i="1" s="1"/>
  <c r="H11" i="1"/>
  <c r="D62" i="1" s="1"/>
  <c r="D87" i="1" s="1"/>
  <c r="F10" i="1"/>
  <c r="BH10" i="1" s="1"/>
  <c r="E10" i="1"/>
  <c r="Z9" i="1"/>
  <c r="Y9" i="1"/>
  <c r="M35" i="1" s="1"/>
  <c r="J9" i="1"/>
  <c r="I9" i="1"/>
  <c r="H9" i="1"/>
  <c r="Z8" i="1"/>
  <c r="Y8" i="1"/>
  <c r="M34" i="1" s="1"/>
  <c r="J8" i="1"/>
  <c r="E8" i="1" s="1"/>
  <c r="I8" i="1"/>
  <c r="AV8" i="1" s="1"/>
  <c r="D59" i="1"/>
  <c r="D84" i="1" s="1"/>
  <c r="Z7" i="1"/>
  <c r="Y7" i="1"/>
  <c r="P7" i="1"/>
  <c r="O7" i="1"/>
  <c r="L7" i="1"/>
  <c r="K7" i="1"/>
  <c r="J7" i="1"/>
  <c r="E58" i="1" s="1"/>
  <c r="E83" i="1" s="1"/>
  <c r="H7" i="1"/>
  <c r="G7" i="1"/>
  <c r="BA7" i="1" s="1"/>
  <c r="F6" i="1"/>
  <c r="E6" i="1"/>
  <c r="F5" i="1"/>
  <c r="BH5" i="1" s="1"/>
  <c r="E5" i="1"/>
  <c r="F4" i="1"/>
  <c r="BH4" i="1" s="1"/>
  <c r="E4" i="1"/>
  <c r="F3" i="1"/>
  <c r="BH3" i="1" s="1"/>
  <c r="E3" i="1"/>
  <c r="F2" i="1"/>
  <c r="BH2" i="1" s="1"/>
  <c r="E2" i="1"/>
  <c r="E42" i="1" l="1"/>
  <c r="F42" i="1"/>
  <c r="G42" i="1" s="1"/>
  <c r="E38" i="1"/>
  <c r="AQ6" i="1"/>
  <c r="BH6" i="1"/>
  <c r="D10" i="1"/>
  <c r="BE10" i="1" s="1"/>
  <c r="BG10" i="1" s="1"/>
  <c r="BI10" i="1"/>
  <c r="E28" i="1"/>
  <c r="BI2" i="1"/>
  <c r="AW15" i="1"/>
  <c r="AX15" i="1" s="1"/>
  <c r="AW12" i="1"/>
  <c r="AX12" i="1" s="1"/>
  <c r="AW13" i="1"/>
  <c r="AW14" i="1"/>
  <c r="AX14" i="1" s="1"/>
  <c r="BJ4" i="1"/>
  <c r="BL4" i="1"/>
  <c r="BI8" i="1"/>
  <c r="AQ12" i="1"/>
  <c r="AT12" i="1" s="1"/>
  <c r="BH12" i="1"/>
  <c r="E31" i="1"/>
  <c r="BI5" i="1"/>
  <c r="E39" i="1"/>
  <c r="D15" i="1"/>
  <c r="BE15" i="1" s="1"/>
  <c r="BG15" i="1" s="1"/>
  <c r="E30" i="1"/>
  <c r="BI4" i="1"/>
  <c r="E32" i="1"/>
  <c r="D14" i="1"/>
  <c r="BE14" i="1" s="1"/>
  <c r="BG14" i="1" s="1"/>
  <c r="BI14" i="1"/>
  <c r="AK9" i="1"/>
  <c r="AO9" i="1" s="1"/>
  <c r="AV9" i="1"/>
  <c r="BJ14" i="1"/>
  <c r="BL14" i="1"/>
  <c r="D3" i="1"/>
  <c r="BE3" i="1" s="1"/>
  <c r="BG3" i="1" s="1"/>
  <c r="BI3" i="1"/>
  <c r="BA6" i="1"/>
  <c r="BJ10" i="1"/>
  <c r="BL10" i="1"/>
  <c r="BJ3" i="1"/>
  <c r="BL3" i="1"/>
  <c r="BJ5" i="1"/>
  <c r="BL5" i="1"/>
  <c r="AQ13" i="1"/>
  <c r="AT13" i="1" s="1"/>
  <c r="BH13" i="1"/>
  <c r="BH15" i="1"/>
  <c r="BK15" i="1" s="1"/>
  <c r="AQ15" i="1"/>
  <c r="AT15" i="1" s="1"/>
  <c r="F7" i="1"/>
  <c r="BH7" i="1" s="1"/>
  <c r="K33" i="1"/>
  <c r="L33" i="1" s="1"/>
  <c r="H28" i="1"/>
  <c r="D31" i="1" s="1"/>
  <c r="AQ2" i="1"/>
  <c r="H29" i="1"/>
  <c r="AQ3" i="1"/>
  <c r="AK8" i="1"/>
  <c r="H30" i="1"/>
  <c r="AQ4" i="1"/>
  <c r="H40" i="1"/>
  <c r="AQ14" i="1"/>
  <c r="AT14" i="1" s="1"/>
  <c r="AQ7" i="1"/>
  <c r="AT7" i="1" s="1"/>
  <c r="AL12" i="1"/>
  <c r="AP12" i="1"/>
  <c r="AJ12" i="1"/>
  <c r="AN12" i="1"/>
  <c r="AL6" i="1"/>
  <c r="AJ6" i="1"/>
  <c r="AN6" i="1"/>
  <c r="AP6" i="1"/>
  <c r="H36" i="1"/>
  <c r="AQ10" i="1"/>
  <c r="AT10" i="1" s="1"/>
  <c r="H31" i="1"/>
  <c r="AQ5" i="1"/>
  <c r="AJ13" i="1"/>
  <c r="AL13" i="1"/>
  <c r="AP13" i="1"/>
  <c r="AN13" i="1"/>
  <c r="H41" i="1"/>
  <c r="AO11" i="1"/>
  <c r="E9" i="1"/>
  <c r="D4" i="1"/>
  <c r="BE4" i="1" s="1"/>
  <c r="BG4" i="1" s="1"/>
  <c r="N34" i="1"/>
  <c r="D60" i="1"/>
  <c r="D85" i="1" s="1"/>
  <c r="K37" i="1"/>
  <c r="L37" i="1" s="1"/>
  <c r="E40" i="1"/>
  <c r="D58" i="1"/>
  <c r="D83" i="1" s="1"/>
  <c r="AI7" i="1"/>
  <c r="E60" i="1"/>
  <c r="E85" i="1" s="1"/>
  <c r="J48" i="1"/>
  <c r="L40" i="1"/>
  <c r="I40" i="1"/>
  <c r="L41" i="1"/>
  <c r="E41" i="1"/>
  <c r="F41" i="1"/>
  <c r="N32" i="1"/>
  <c r="N29" i="1"/>
  <c r="N35" i="1"/>
  <c r="N36" i="1"/>
  <c r="J39" i="1"/>
  <c r="N40" i="1"/>
  <c r="F40" i="1"/>
  <c r="D5" i="1"/>
  <c r="BE5" i="1" s="1"/>
  <c r="BG5" i="1" s="1"/>
  <c r="F8" i="1"/>
  <c r="BH8" i="1" s="1"/>
  <c r="F9" i="1"/>
  <c r="E62" i="1"/>
  <c r="E87" i="1" s="1"/>
  <c r="D12" i="1"/>
  <c r="BE12" i="1" s="1"/>
  <c r="BG12" i="1" s="1"/>
  <c r="F28" i="1"/>
  <c r="E36" i="1"/>
  <c r="L81" i="1"/>
  <c r="M85" i="1"/>
  <c r="L89" i="1"/>
  <c r="M91" i="1"/>
  <c r="L97" i="1"/>
  <c r="M99" i="1"/>
  <c r="L36" i="1"/>
  <c r="L79" i="1"/>
  <c r="L87" i="1"/>
  <c r="L95" i="1"/>
  <c r="F38" i="1"/>
  <c r="G38" i="1" s="1"/>
  <c r="F31" i="1"/>
  <c r="M33" i="1"/>
  <c r="N33" i="1" s="1"/>
  <c r="L39" i="1"/>
  <c r="J43" i="1"/>
  <c r="J47" i="1"/>
  <c r="L83" i="1"/>
  <c r="L93" i="1"/>
  <c r="F58" i="1"/>
  <c r="F83" i="1" s="1"/>
  <c r="K35" i="1"/>
  <c r="L35" i="1" s="1"/>
  <c r="F30" i="1"/>
  <c r="D6" i="1"/>
  <c r="BE6" i="1" s="1"/>
  <c r="BG6" i="1" s="1"/>
  <c r="H58" i="1"/>
  <c r="H83" i="1" s="1"/>
  <c r="E59" i="1"/>
  <c r="E84" i="1" s="1"/>
  <c r="E11" i="1"/>
  <c r="D13" i="1"/>
  <c r="BE13" i="1" s="1"/>
  <c r="BG13" i="1" s="1"/>
  <c r="L31" i="1"/>
  <c r="M37" i="1"/>
  <c r="N37" i="1" s="1"/>
  <c r="H38" i="1"/>
  <c r="H39" i="1"/>
  <c r="F39" i="1"/>
  <c r="G39" i="1" s="1"/>
  <c r="E29" i="1"/>
  <c r="F32" i="1"/>
  <c r="H32" i="1"/>
  <c r="E7" i="1"/>
  <c r="BI7" i="1" s="1"/>
  <c r="D8" i="1"/>
  <c r="BE8" i="1" s="1"/>
  <c r="BG8" i="1" s="1"/>
  <c r="E34" i="1"/>
  <c r="F29" i="1"/>
  <c r="H35" i="1"/>
  <c r="I35" i="1" s="1"/>
  <c r="L29" i="1"/>
  <c r="L38" i="1"/>
  <c r="L30" i="1"/>
  <c r="J31" i="1"/>
  <c r="D2" i="1"/>
  <c r="BE2" i="1" s="1"/>
  <c r="BG2" i="1" s="1"/>
  <c r="K34" i="1"/>
  <c r="L34" i="1" s="1"/>
  <c r="F36" i="1"/>
  <c r="J29" i="1"/>
  <c r="N31" i="1"/>
  <c r="J37" i="1"/>
  <c r="N39" i="1"/>
  <c r="J41" i="1"/>
  <c r="J45" i="1"/>
  <c r="J49" i="1"/>
  <c r="F11" i="1"/>
  <c r="L78" i="1"/>
  <c r="L80" i="1"/>
  <c r="L82" i="1"/>
  <c r="L84" i="1"/>
  <c r="L86" i="1"/>
  <c r="L88" i="1"/>
  <c r="L90" i="1"/>
  <c r="L92" i="1"/>
  <c r="L94" i="1"/>
  <c r="L96" i="1"/>
  <c r="L98" i="1"/>
  <c r="L100" i="1"/>
  <c r="J30" i="1"/>
  <c r="J38" i="1"/>
  <c r="J42" i="1"/>
  <c r="J46" i="1"/>
  <c r="J50" i="1"/>
  <c r="N30" i="1"/>
  <c r="J32" i="1"/>
  <c r="J36" i="1"/>
  <c r="N38" i="1"/>
  <c r="J40" i="1"/>
  <c r="J44" i="1"/>
  <c r="D44" i="1" l="1"/>
  <c r="I29" i="1"/>
  <c r="I41" i="1"/>
  <c r="I36" i="1"/>
  <c r="BJ13" i="1"/>
  <c r="BL13" i="1"/>
  <c r="BB13" i="1"/>
  <c r="BB10" i="1"/>
  <c r="BB12" i="1"/>
  <c r="BB8" i="1"/>
  <c r="BB15" i="1"/>
  <c r="BB14" i="1"/>
  <c r="BJ6" i="1"/>
  <c r="BL6" i="1"/>
  <c r="D49" i="1"/>
  <c r="AQ9" i="1"/>
  <c r="AT9" i="1" s="1"/>
  <c r="BH9" i="1"/>
  <c r="BL7" i="1"/>
  <c r="BJ7" i="1"/>
  <c r="BB7" i="1"/>
  <c r="BI13" i="1"/>
  <c r="BJ12" i="1"/>
  <c r="BL12" i="1"/>
  <c r="BI12" i="1"/>
  <c r="BL15" i="1"/>
  <c r="BJ15" i="1"/>
  <c r="BI15" i="1"/>
  <c r="AQ11" i="1"/>
  <c r="AT11" i="1" s="1"/>
  <c r="BH11" i="1"/>
  <c r="BI11" i="1" s="1"/>
  <c r="D46" i="1"/>
  <c r="I38" i="1"/>
  <c r="BJ8" i="1"/>
  <c r="BL8" i="1"/>
  <c r="E35" i="1"/>
  <c r="H33" i="1"/>
  <c r="I33" i="1" s="1"/>
  <c r="BI6" i="1"/>
  <c r="BB11" i="1"/>
  <c r="BB9" i="1"/>
  <c r="F35" i="1"/>
  <c r="D42" i="1"/>
  <c r="D45" i="1"/>
  <c r="I39" i="1"/>
  <c r="D48" i="1"/>
  <c r="I31" i="1"/>
  <c r="I30" i="1"/>
  <c r="D43" i="1"/>
  <c r="D50" i="1"/>
  <c r="D47" i="1"/>
  <c r="D9" i="1"/>
  <c r="BE9" i="1" s="1"/>
  <c r="BG9" i="1" s="1"/>
  <c r="I32" i="1"/>
  <c r="AJ9" i="1"/>
  <c r="AL5" i="1"/>
  <c r="AJ5" i="1"/>
  <c r="AN5" i="1"/>
  <c r="AP5" i="1"/>
  <c r="AL7" i="1"/>
  <c r="AN7" i="1"/>
  <c r="AL9" i="1"/>
  <c r="G31" i="1"/>
  <c r="F34" i="1"/>
  <c r="G34" i="1" s="1"/>
  <c r="AQ8" i="1"/>
  <c r="AT8" i="1" s="1"/>
  <c r="AO7" i="1"/>
  <c r="AP7" i="1" s="1"/>
  <c r="AJ7" i="1"/>
  <c r="AP11" i="1"/>
  <c r="AP4" i="1"/>
  <c r="AN4" i="1"/>
  <c r="AL4" i="1"/>
  <c r="AJ4" i="1"/>
  <c r="AL8" i="1"/>
  <c r="AO8" i="1"/>
  <c r="AJ2" i="1"/>
  <c r="AN2" i="1"/>
  <c r="AL2" i="1"/>
  <c r="AN15" i="1"/>
  <c r="AL15" i="1"/>
  <c r="AJ15" i="1"/>
  <c r="AP15" i="1"/>
  <c r="AJ10" i="1"/>
  <c r="AL10" i="1"/>
  <c r="AN10" i="1"/>
  <c r="AP10" i="1"/>
  <c r="AN14" i="1"/>
  <c r="AL14" i="1"/>
  <c r="AJ14" i="1"/>
  <c r="AP14" i="1"/>
  <c r="AN11" i="1"/>
  <c r="AJ11" i="1"/>
  <c r="AL11" i="1"/>
  <c r="AN3" i="1"/>
  <c r="AJ3" i="1"/>
  <c r="AP3" i="1"/>
  <c r="AL3" i="1"/>
  <c r="AP9" i="1"/>
  <c r="G30" i="1"/>
  <c r="H34" i="1"/>
  <c r="I34" i="1" s="1"/>
  <c r="J34" i="1"/>
  <c r="G35" i="1"/>
  <c r="J33" i="1"/>
  <c r="G36" i="1"/>
  <c r="D30" i="1"/>
  <c r="G29" i="1"/>
  <c r="G41" i="1"/>
  <c r="G40" i="1"/>
  <c r="G32" i="1"/>
  <c r="D41" i="1"/>
  <c r="J35" i="1"/>
  <c r="D38" i="1"/>
  <c r="D39" i="1"/>
  <c r="D40" i="1"/>
  <c r="D36" i="1"/>
  <c r="D35" i="1"/>
  <c r="D11" i="1"/>
  <c r="BE11" i="1" s="1"/>
  <c r="BG11" i="1" s="1"/>
  <c r="E37" i="1"/>
  <c r="D29" i="1"/>
  <c r="H37" i="1"/>
  <c r="I37" i="1" s="1"/>
  <c r="F37" i="1"/>
  <c r="G37" i="1" s="1"/>
  <c r="D7" i="1"/>
  <c r="BE7" i="1" s="1"/>
  <c r="BG7" i="1" s="1"/>
  <c r="F33" i="1"/>
  <c r="E33" i="1"/>
  <c r="D32" i="1"/>
  <c r="BJ9" i="1" l="1"/>
  <c r="BL9" i="1"/>
  <c r="BL11" i="1"/>
  <c r="BJ11" i="1"/>
  <c r="AN9" i="1"/>
  <c r="BI9" i="1"/>
  <c r="AT6" i="1"/>
  <c r="AU11" i="1" s="1"/>
  <c r="D34" i="1"/>
  <c r="AN8" i="1"/>
  <c r="AJ8" i="1"/>
  <c r="AP8" i="1"/>
  <c r="G33" i="1"/>
  <c r="D33" i="1"/>
  <c r="D37" i="1"/>
  <c r="AU8" i="1" l="1"/>
  <c r="AU10" i="1"/>
  <c r="AU15" i="1"/>
  <c r="AU14" i="1"/>
  <c r="AU12" i="1"/>
  <c r="AU7" i="1"/>
  <c r="AU13" i="1"/>
  <c r="AU9" i="1"/>
  <c r="AP2" i="1"/>
</calcChain>
</file>

<file path=xl/comments1.xml><?xml version="1.0" encoding="utf-8"?>
<comments xmlns="http://schemas.openxmlformats.org/spreadsheetml/2006/main">
  <authors>
    <author>WCUUser</author>
  </authors>
  <commentList>
    <comment ref="Y1" authorId="0" shapeId="0">
      <text>
        <r>
          <rPr>
            <b/>
            <sz val="9"/>
            <color indexed="81"/>
            <rFont val="Tahoma"/>
            <family val="2"/>
          </rPr>
          <t>WCUUser:</t>
        </r>
        <r>
          <rPr>
            <sz val="9"/>
            <color indexed="81"/>
            <rFont val="Tahoma"/>
            <family val="2"/>
          </rPr>
          <t xml:space="preserve">
Water Plant production</t>
        </r>
      </text>
    </comment>
    <comment ref="AV13" authorId="0" shapeId="0">
      <text>
        <r>
          <rPr>
            <b/>
            <sz val="9"/>
            <color indexed="81"/>
            <rFont val="Tahoma"/>
            <family val="2"/>
          </rPr>
          <t>WCUUser:</t>
        </r>
        <r>
          <rPr>
            <sz val="9"/>
            <color indexed="81"/>
            <rFont val="Tahoma"/>
            <family val="2"/>
          </rPr>
          <t xml:space="preserve">
NG Curtailment approx. 10 days?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WCUUser:</t>
        </r>
        <r>
          <rPr>
            <sz val="9"/>
            <color indexed="81"/>
            <rFont val="Tahoma"/>
            <family val="2"/>
          </rPr>
          <t xml:space="preserve">
Using past conversion of 1010 Btus per ft3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WCUUser:</t>
        </r>
        <r>
          <rPr>
            <sz val="9"/>
            <color indexed="81"/>
            <rFont val="Tahoma"/>
            <family val="2"/>
          </rPr>
          <t xml:space="preserve">
Estimate - Fuel gauge not accurate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WCUUser:</t>
        </r>
        <r>
          <rPr>
            <sz val="9"/>
            <color indexed="81"/>
            <rFont val="Tahoma"/>
            <family val="2"/>
          </rPr>
          <t xml:space="preserve">
Estimate - fuel gauge not accurate, only used for testing
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WCUUser:</t>
        </r>
        <r>
          <rPr>
            <sz val="9"/>
            <color indexed="81"/>
            <rFont val="Tahoma"/>
            <family val="2"/>
          </rPr>
          <t xml:space="preserve">
building heating only</t>
        </r>
      </text>
    </comment>
    <comment ref="AB16" authorId="0" shapeId="0">
      <text>
        <r>
          <rPr>
            <b/>
            <sz val="9"/>
            <color indexed="81"/>
            <rFont val="Tahoma"/>
            <charset val="1"/>
          </rPr>
          <t>WCUUser:</t>
        </r>
        <r>
          <rPr>
            <sz val="9"/>
            <color indexed="81"/>
            <rFont val="Tahoma"/>
            <charset val="1"/>
          </rPr>
          <t xml:space="preserve">
Noble Hall on line Fall of 2016</t>
        </r>
      </text>
    </comment>
  </commentList>
</comments>
</file>

<file path=xl/sharedStrings.xml><?xml version="1.0" encoding="utf-8"?>
<sst xmlns="http://schemas.openxmlformats.org/spreadsheetml/2006/main" count="519" uniqueCount="140">
  <si>
    <t>id</t>
  </si>
  <si>
    <t>year</t>
  </si>
  <si>
    <t>name</t>
  </si>
  <si>
    <t>total utility $</t>
  </si>
  <si>
    <t>total energy $</t>
  </si>
  <si>
    <t>total btu</t>
  </si>
  <si>
    <t>kwh</t>
  </si>
  <si>
    <t>kwh $</t>
  </si>
  <si>
    <t>ng therms</t>
  </si>
  <si>
    <t>ng $</t>
  </si>
  <si>
    <t>2oil gals</t>
  </si>
  <si>
    <t>2oil $</t>
  </si>
  <si>
    <t>6 oil gals</t>
  </si>
  <si>
    <t>6oil $</t>
  </si>
  <si>
    <t>propane gals</t>
  </si>
  <si>
    <t>propane $</t>
  </si>
  <si>
    <t>coal tons</t>
  </si>
  <si>
    <t>coal $</t>
  </si>
  <si>
    <t>wood tons</t>
  </si>
  <si>
    <t>wood $</t>
  </si>
  <si>
    <t>steam klbs</t>
  </si>
  <si>
    <t>steam $</t>
  </si>
  <si>
    <t>chw tons</t>
  </si>
  <si>
    <t>chw $</t>
  </si>
  <si>
    <t>kgal water</t>
  </si>
  <si>
    <t>water sewer $</t>
  </si>
  <si>
    <t>gsf</t>
  </si>
  <si>
    <t>construction gsf</t>
  </si>
  <si>
    <t>renovated A/C gsf</t>
  </si>
  <si>
    <t>stm_eff_factor</t>
  </si>
  <si>
    <t>chw_eff_factor</t>
  </si>
  <si>
    <t>cogen_adj</t>
  </si>
  <si>
    <t xml:space="preserve"> 2002-03</t>
  </si>
  <si>
    <t>Western Carolina University</t>
  </si>
  <si>
    <t xml:space="preserve"> 2003-04</t>
  </si>
  <si>
    <t xml:space="preserve"> 2004-05</t>
  </si>
  <si>
    <t>2005-06</t>
  </si>
  <si>
    <t xml:space="preserve"> 2006-07</t>
  </si>
  <si>
    <t xml:space="preserve"> 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</si>
  <si>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</si>
  <si>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</si>
  <si>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</si>
  <si>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</si>
  <si>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</si>
  <si>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</si>
  <si>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</si>
  <si>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</si>
  <si>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2016-14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</si>
  <si>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</si>
  <si>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</si>
  <si>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</si>
  <si>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</si>
  <si>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</si>
  <si>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</si>
  <si>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</si>
  <si>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</si>
  <si>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energy evaluation</t>
  </si>
  <si>
    <t>water/sewer evaluation</t>
  </si>
  <si>
    <t>energy $ avoided</t>
  </si>
  <si>
    <t>energy $/gsf</t>
  </si>
  <si>
    <t>$/mmbtu</t>
  </si>
  <si>
    <t>$/mmbtu %change</t>
  </si>
  <si>
    <t>btu/sf</t>
  </si>
  <si>
    <t>btu/sf %change</t>
  </si>
  <si>
    <t>water $ avoided</t>
  </si>
  <si>
    <t>$/kgal</t>
  </si>
  <si>
    <t>$/kgal %change</t>
  </si>
  <si>
    <t>gal/sf</t>
  </si>
  <si>
    <t>gal/sf %change</t>
  </si>
  <si>
    <t>$/kwh</t>
  </si>
  <si>
    <t>$/therm</t>
  </si>
  <si>
    <t>2 oil $/gal</t>
  </si>
  <si>
    <t>6 oil $/gal</t>
  </si>
  <si>
    <t>propane$/gal</t>
  </si>
  <si>
    <t>coal $/ton</t>
  </si>
  <si>
    <t>wood $/ton</t>
  </si>
  <si>
    <t>steam $/mlb</t>
  </si>
  <si>
    <t>chw $/ton</t>
  </si>
  <si>
    <t>Cost per Therm (100,000 Btu) all Energy Sources</t>
  </si>
  <si>
    <t>WCU</t>
  </si>
  <si>
    <t>2016-17</t>
  </si>
  <si>
    <t>HDD</t>
  </si>
  <si>
    <t>NG MMBTU</t>
  </si>
  <si>
    <t>#6 MMBTU</t>
  </si>
  <si>
    <t>kWh MMBTU</t>
  </si>
  <si>
    <t>Total MMBTU</t>
  </si>
  <si>
    <t>kWh,NG, and #6 MMBTU</t>
  </si>
  <si>
    <t>% of Total MMBTU</t>
  </si>
  <si>
    <t>NG kBTU/ft2/HDD</t>
  </si>
  <si>
    <t>BTU/ft2/HDD</t>
  </si>
  <si>
    <t>% Difference</t>
  </si>
  <si>
    <t>Row Labels</t>
  </si>
  <si>
    <t>Grand Total</t>
  </si>
  <si>
    <t>Sum of kwh $</t>
  </si>
  <si>
    <t>Sum of kwh</t>
  </si>
  <si>
    <t>Sum of ng therms</t>
  </si>
  <si>
    <t>Sum of 2oil gals</t>
  </si>
  <si>
    <t>Sum of 6 oil gals</t>
  </si>
  <si>
    <t>Sum of propane gals</t>
  </si>
  <si>
    <t>kWh</t>
  </si>
  <si>
    <t>NG</t>
  </si>
  <si>
    <t>MMBTUs</t>
  </si>
  <si>
    <t>#2 oil</t>
  </si>
  <si>
    <t>#6 oil</t>
  </si>
  <si>
    <t>Propane</t>
  </si>
  <si>
    <t>Sum of ng $</t>
  </si>
  <si>
    <t>Sum of 2oil $</t>
  </si>
  <si>
    <t>Sum of 6oil $</t>
  </si>
  <si>
    <t>Sum of propane $</t>
  </si>
  <si>
    <t>Electric</t>
  </si>
  <si>
    <t>Natural Gas</t>
  </si>
  <si>
    <t>#2 Oil</t>
  </si>
  <si>
    <t>#6 Oil</t>
  </si>
  <si>
    <t>Sum of water sewer $</t>
  </si>
  <si>
    <t>Water</t>
  </si>
  <si>
    <t>FY</t>
  </si>
  <si>
    <t>Name</t>
  </si>
  <si>
    <t>Sum of $/kwh</t>
  </si>
  <si>
    <t>Sum of $/therm</t>
  </si>
  <si>
    <t>NG DT</t>
  </si>
  <si>
    <t xml:space="preserve"> $/kwh</t>
  </si>
  <si>
    <t>Fiscal Year</t>
  </si>
  <si>
    <t>2002-03</t>
  </si>
  <si>
    <t xml:space="preserve"> $/Therm</t>
  </si>
  <si>
    <t>2006-07</t>
  </si>
  <si>
    <t>2007-08</t>
  </si>
  <si>
    <t>Average</t>
  </si>
  <si>
    <t>CDD</t>
  </si>
  <si>
    <t>Elec. BTU/ft2/CDD</t>
  </si>
  <si>
    <t>Total Utility Cost per Gross ft2</t>
  </si>
  <si>
    <t>Total Utilities</t>
  </si>
  <si>
    <t>Gross Square Footage</t>
  </si>
  <si>
    <t>Total MMBTUs</t>
  </si>
  <si>
    <t>$ / MMBTU</t>
  </si>
  <si>
    <t>% change MMBTU</t>
  </si>
  <si>
    <t>$/MMBTU</t>
  </si>
  <si>
    <t>BTU/SF</t>
  </si>
  <si>
    <t>kBTU/ft2</t>
  </si>
  <si>
    <t>% change kBTU/ft2</t>
  </si>
  <si>
    <t>Elec MMBTU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</si>
</sst>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(&quot;$&quot;#,##0\)"/>
    <numFmt numFmtId="165" formatCode="&quot;$&quot;#,##0"/>
    <numFmt numFmtId="166" formatCode="#,##0.0"/>
    <numFmt numFmtId="167" formatCode="_(* #,##0_);_(* \(#,##0\);_(* &quot;-&quot;??_);_(@_)"/>
    <numFmt numFmtId="168" formatCode="&quot;$&quot;#,##0.00"/>
    <numFmt numFmtId="169" formatCode="&quot;$&quot;#,##0.0000"/>
    <numFmt numFmtId="170" formatCode="&quot;$&quot;#,##0.000"/>
    <numFmt numFmtId="171" formatCode="0.0%"/>
    <numFmt numFmtId="172" formatCode="#,##0.00000000"/>
    <numFmt numFmtId="173" formatCode="_(&quot;$&quot;* #,##0.000_);_(&quot;$&quot;* \(#,##0.000\);_(&quot;$&quot;* &quot;-&quot;??_);_(@_)"/>
  </numFmts>
  <fonts count="19" x14ac:knownFonts="1">
    <font>
      <sz val="10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 tint="-0.3499862666707357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8"/>
      <color theme="0" tint="-0.49998474074526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7" tint="0.59999389629810485"/>
        <bgColor indexed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">
    <xf numFmtId="0" fontId="0" fillId="0" borderId="0" xfId="0"/>
    <xf numFmtId="0" fontId="2" fillId="2" borderId="1" xfId="3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2" fillId="0" borderId="2" xfId="3" applyNumberFormat="1" applyFont="1" applyFill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/>
    <xf numFmtId="3" fontId="2" fillId="0" borderId="2" xfId="4" applyNumberFormat="1" applyFont="1" applyFill="1" applyBorder="1" applyAlignment="1">
      <alignment horizontal="right" wrapText="1"/>
    </xf>
    <xf numFmtId="3" fontId="2" fillId="0" borderId="3" xfId="4" applyNumberFormat="1" applyFont="1" applyFill="1" applyBorder="1" applyAlignment="1">
      <alignment horizontal="right" wrapText="1"/>
    </xf>
    <xf numFmtId="165" fontId="4" fillId="0" borderId="0" xfId="0" applyNumberFormat="1" applyFont="1" applyFill="1"/>
    <xf numFmtId="3" fontId="2" fillId="0" borderId="4" xfId="3" applyNumberFormat="1" applyFont="1" applyFill="1" applyBorder="1" applyAlignment="1">
      <alignment horizontal="right"/>
    </xf>
    <xf numFmtId="0" fontId="2" fillId="0" borderId="2" xfId="5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0" xfId="0" applyFont="1"/>
    <xf numFmtId="49" fontId="2" fillId="0" borderId="0" xfId="3" applyNumberFormat="1" applyFont="1" applyFill="1" applyBorder="1" applyAlignment="1">
      <alignment horizontal="center"/>
    </xf>
    <xf numFmtId="166" fontId="2" fillId="0" borderId="3" xfId="4" applyNumberFormat="1" applyFont="1" applyFill="1" applyBorder="1" applyAlignment="1">
      <alignment horizontal="right" wrapText="1"/>
    </xf>
    <xf numFmtId="167" fontId="2" fillId="0" borderId="3" xfId="1" applyNumberFormat="1" applyFont="1" applyFill="1" applyBorder="1" applyAlignment="1">
      <alignment horizontal="right" wrapText="1"/>
    </xf>
    <xf numFmtId="164" fontId="4" fillId="0" borderId="0" xfId="6" applyNumberFormat="1" applyFont="1" applyFill="1"/>
    <xf numFmtId="0" fontId="2" fillId="0" borderId="3" xfId="5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center"/>
    </xf>
    <xf numFmtId="3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68" fontId="4" fillId="0" borderId="1" xfId="0" applyNumberFormat="1" applyFont="1" applyFill="1" applyBorder="1"/>
    <xf numFmtId="9" fontId="4" fillId="0" borderId="1" xfId="2" applyFont="1" applyFill="1" applyBorder="1"/>
    <xf numFmtId="3" fontId="4" fillId="6" borderId="1" xfId="0" applyNumberFormat="1" applyFont="1" applyFill="1" applyBorder="1"/>
    <xf numFmtId="0" fontId="4" fillId="0" borderId="1" xfId="0" applyFont="1" applyBorder="1"/>
    <xf numFmtId="168" fontId="4" fillId="0" borderId="1" xfId="0" applyNumberFormat="1" applyFont="1" applyBorder="1"/>
    <xf numFmtId="4" fontId="4" fillId="4" borderId="1" xfId="0" applyNumberFormat="1" applyFont="1" applyFill="1" applyBorder="1"/>
    <xf numFmtId="165" fontId="4" fillId="0" borderId="1" xfId="0" applyNumberFormat="1" applyFont="1" applyFill="1" applyBorder="1"/>
    <xf numFmtId="9" fontId="4" fillId="3" borderId="1" xfId="2" applyFont="1" applyFill="1" applyBorder="1"/>
    <xf numFmtId="9" fontId="4" fillId="3" borderId="1" xfId="2" applyNumberFormat="1" applyFont="1" applyFill="1" applyBorder="1"/>
    <xf numFmtId="165" fontId="4" fillId="0" borderId="1" xfId="0" applyNumberFormat="1" applyFont="1" applyBorder="1"/>
    <xf numFmtId="168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169" fontId="4" fillId="0" borderId="1" xfId="0" applyNumberFormat="1" applyFont="1" applyFill="1" applyBorder="1"/>
    <xf numFmtId="170" fontId="4" fillId="0" borderId="1" xfId="0" applyNumberFormat="1" applyFont="1" applyFill="1" applyBorder="1"/>
    <xf numFmtId="49" fontId="4" fillId="0" borderId="0" xfId="0" applyNumberFormat="1" applyFont="1"/>
    <xf numFmtId="169" fontId="4" fillId="0" borderId="0" xfId="0" applyNumberFormat="1" applyFont="1" applyFill="1"/>
    <xf numFmtId="168" fontId="4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4" fillId="0" borderId="3" xfId="4" applyNumberFormat="1" applyFont="1" applyFill="1" applyBorder="1" applyAlignment="1">
      <alignment horizontal="right" wrapText="1"/>
    </xf>
    <xf numFmtId="3" fontId="6" fillId="0" borderId="3" xfId="4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0" borderId="0" xfId="6" applyNumberFormat="1" applyFont="1" applyFill="1"/>
    <xf numFmtId="0" fontId="2" fillId="7" borderId="11" xfId="3" applyFont="1" applyFill="1" applyBorder="1" applyAlignment="1">
      <alignment horizontal="center" vertical="center" wrapText="1"/>
    </xf>
    <xf numFmtId="3" fontId="4" fillId="0" borderId="0" xfId="0" applyNumberFormat="1" applyFont="1"/>
    <xf numFmtId="0" fontId="2" fillId="7" borderId="0" xfId="3" applyFont="1" applyFill="1" applyBorder="1" applyAlignment="1">
      <alignment horizontal="center" vertical="center" wrapText="1"/>
    </xf>
    <xf numFmtId="0" fontId="10" fillId="7" borderId="0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6" fontId="9" fillId="0" borderId="0" xfId="0" applyNumberFormat="1" applyFont="1" applyFill="1" applyAlignment="1">
      <alignment horizontal="center" vertical="center"/>
    </xf>
    <xf numFmtId="171" fontId="4" fillId="8" borderId="0" xfId="2" applyNumberFormat="1" applyFont="1" applyFill="1" applyBorder="1" applyAlignment="1">
      <alignment horizontal="center" vertical="center"/>
    </xf>
    <xf numFmtId="164" fontId="4" fillId="8" borderId="0" xfId="1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2" fontId="9" fillId="0" borderId="0" xfId="0" applyNumberFormat="1" applyFont="1" applyFill="1" applyAlignment="1">
      <alignment horizontal="center" vertical="center"/>
    </xf>
    <xf numFmtId="171" fontId="4" fillId="8" borderId="0" xfId="2" applyNumberFormat="1" applyFont="1" applyFill="1" applyAlignment="1">
      <alignment horizontal="left" vertical="center"/>
    </xf>
    <xf numFmtId="0" fontId="2" fillId="9" borderId="11" xfId="3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2" fillId="0" borderId="12" xfId="0" applyFont="1" applyFill="1" applyBorder="1"/>
    <xf numFmtId="0" fontId="0" fillId="0" borderId="0" xfId="0" applyFill="1" applyAlignment="1">
      <alignment horizontal="left"/>
    </xf>
    <xf numFmtId="3" fontId="0" fillId="0" borderId="0" xfId="0" applyNumberFormat="1" applyFill="1"/>
    <xf numFmtId="0" fontId="12" fillId="0" borderId="13" xfId="0" applyFont="1" applyFill="1" applyBorder="1" applyAlignment="1">
      <alignment horizontal="left"/>
    </xf>
    <xf numFmtId="3" fontId="12" fillId="0" borderId="13" xfId="0" applyNumberFormat="1" applyFont="1" applyFill="1" applyBorder="1"/>
    <xf numFmtId="0" fontId="5" fillId="0" borderId="0" xfId="0" applyFont="1"/>
    <xf numFmtId="0" fontId="12" fillId="0" borderId="0" xfId="0" applyFont="1" applyFill="1" applyBorder="1"/>
    <xf numFmtId="3" fontId="12" fillId="0" borderId="0" xfId="0" applyNumberFormat="1" applyFont="1" applyFill="1" applyBorder="1"/>
    <xf numFmtId="0" fontId="13" fillId="10" borderId="0" xfId="0" applyFont="1" applyFill="1"/>
    <xf numFmtId="0" fontId="14" fillId="10" borderId="0" xfId="0" applyFont="1" applyFill="1"/>
    <xf numFmtId="44" fontId="0" fillId="0" borderId="0" xfId="0" applyNumberFormat="1"/>
    <xf numFmtId="44" fontId="0" fillId="0" borderId="0" xfId="11" applyFont="1"/>
    <xf numFmtId="173" fontId="0" fillId="0" borderId="0" xfId="0" applyNumberFormat="1"/>
    <xf numFmtId="44" fontId="5" fillId="0" borderId="0" xfId="11" applyFont="1"/>
    <xf numFmtId="173" fontId="0" fillId="0" borderId="0" xfId="11" applyNumberFormat="1" applyFont="1"/>
    <xf numFmtId="44" fontId="15" fillId="0" borderId="0" xfId="11" applyFont="1"/>
    <xf numFmtId="0" fontId="5" fillId="0" borderId="0" xfId="0" applyFont="1" applyAlignment="1">
      <alignment horizontal="left"/>
    </xf>
    <xf numFmtId="3" fontId="11" fillId="0" borderId="5" xfId="0" applyNumberFormat="1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center" vertical="center"/>
    </xf>
    <xf numFmtId="171" fontId="4" fillId="0" borderId="0" xfId="2" applyNumberFormat="1" applyFont="1" applyFill="1" applyAlignment="1">
      <alignment horizontal="center" vertical="center"/>
    </xf>
    <xf numFmtId="0" fontId="2" fillId="11" borderId="11" xfId="3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0" fontId="2" fillId="11" borderId="0" xfId="3" applyFont="1" applyFill="1" applyBorder="1" applyAlignment="1">
      <alignment horizontal="center" vertical="center" wrapText="1"/>
    </xf>
    <xf numFmtId="0" fontId="2" fillId="12" borderId="14" xfId="3" applyFont="1" applyFill="1" applyBorder="1" applyAlignment="1">
      <alignment horizontal="center" vertical="center" wrapText="1"/>
    </xf>
    <xf numFmtId="0" fontId="2" fillId="12" borderId="15" xfId="3" applyFont="1" applyFill="1" applyBorder="1" applyAlignment="1">
      <alignment horizontal="center" vertical="center" wrapText="1"/>
    </xf>
    <xf numFmtId="0" fontId="2" fillId="12" borderId="16" xfId="3" applyFont="1" applyFill="1" applyBorder="1" applyAlignment="1">
      <alignment horizontal="center" vertical="center" wrapText="1"/>
    </xf>
    <xf numFmtId="49" fontId="16" fillId="0" borderId="17" xfId="3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49" fontId="2" fillId="0" borderId="19" xfId="3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3" fontId="4" fillId="8" borderId="0" xfId="0" applyNumberFormat="1" applyFont="1" applyFill="1" applyBorder="1" applyAlignment="1">
      <alignment horizontal="center"/>
    </xf>
    <xf numFmtId="7" fontId="4" fillId="8" borderId="0" xfId="0" applyNumberFormat="1" applyFont="1" applyFill="1" applyBorder="1" applyAlignment="1">
      <alignment horizontal="center"/>
    </xf>
    <xf numFmtId="7" fontId="4" fillId="0" borderId="0" xfId="0" applyNumberFormat="1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9" fontId="4" fillId="0" borderId="18" xfId="2" applyFont="1" applyBorder="1" applyAlignment="1">
      <alignment horizontal="center" vertical="center"/>
    </xf>
    <xf numFmtId="49" fontId="2" fillId="0" borderId="20" xfId="3" applyNumberFormat="1" applyFont="1" applyFill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3" fontId="4" fillId="8" borderId="21" xfId="0" applyNumberFormat="1" applyFont="1" applyFill="1" applyBorder="1" applyAlignment="1">
      <alignment horizontal="center"/>
    </xf>
    <xf numFmtId="7" fontId="4" fillId="8" borderId="21" xfId="0" applyNumberFormat="1" applyFont="1" applyFill="1" applyBorder="1" applyAlignment="1">
      <alignment horizontal="center"/>
    </xf>
    <xf numFmtId="7" fontId="4" fillId="0" borderId="21" xfId="0" applyNumberFormat="1" applyFont="1" applyBorder="1" applyAlignment="1">
      <alignment horizontal="center"/>
    </xf>
    <xf numFmtId="9" fontId="4" fillId="0" borderId="21" xfId="2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9" fontId="4" fillId="0" borderId="22" xfId="2" applyFont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</cellXfs>
  <cellStyles count="12">
    <cellStyle name="Comma" xfId="1" builtinId="3"/>
    <cellStyle name="Comma 2" xfId="7"/>
    <cellStyle name="Comma 2 2" xfId="8"/>
    <cellStyle name="Currency" xfId="11" builtinId="4"/>
    <cellStyle name="Currency 2" xfId="9"/>
    <cellStyle name="Normal" xfId="0" builtinId="0"/>
    <cellStyle name="Normal 2" xfId="6"/>
    <cellStyle name="Normal_Sheet1" xfId="3"/>
    <cellStyle name="Normal_Sheet1 (3)" xfId="4"/>
    <cellStyle name="Normal_summary_1" xfId="5"/>
    <cellStyle name="Percent" xfId="2" builtinId="5"/>
    <cellStyle name="Percent 2" xfId="10"/>
  </cellStyles>
  <dxfs count="3">
    <dxf>
      <numFmt numFmtId="173" formatCode="_(&quot;$&quot;* #,##0.000_);_(&quot;$&quot;* \(#,##0.000\);_(&quot;$&quot;* &quot;-&quot;??_);_(@_)"/>
    </dxf>
    <dxf>
      <numFmt numFmtId="34" formatCode="_(&quot;$&quot;* #,##0.00_);_(&quot;$&quot;* \(#,##0.00\);_(&quot;$&quot;* &quot;-&quot;??_);_(@_)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WCU Energy Usage Intensity  (kBTUs / ft</a:t>
            </a:r>
            <a:r>
              <a:rPr lang="en-US" sz="1200" baseline="30000"/>
              <a:t>2</a:t>
            </a:r>
            <a:r>
              <a:rPr lang="en-US" sz="1200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2.2222222222222195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555555555555046E-3"/>
                  <c:y val="-9.259259259259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8.333333333333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185067526415994E-16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0185067526415994E-16"/>
                  <c:y val="-0.111111111111111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-0.111111111111111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8596626223172845E-16"/>
                  <c:y val="-4.7583260558628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8596626223172845E-16"/>
                  <c:y val="-1.4530691359173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WCU!$B$28:$B$42</c:f>
              <c:strCache>
                <c:ptCount val="15"/>
                <c:pt idx="0">
                  <c:v> 2002-03</c:v>
                </c:pt>
                <c:pt idx="1">
                  <c:v> 2003-04</c:v>
                </c:pt>
                <c:pt idx="2">
                  <c:v> 2004-05</c:v>
                </c:pt>
                <c:pt idx="3">
                  <c:v>2005-06</c:v>
                </c:pt>
                <c:pt idx="4">
                  <c:v> 2006-07</c:v>
                </c:pt>
                <c:pt idx="5">
                  <c:v> 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</c:strCache>
            </c:strRef>
          </c:cat>
          <c:val>
            <c:numRef>
              <c:f>WCU!$H$28:$H$42</c:f>
              <c:numCache>
                <c:formatCode>#,##0</c:formatCode>
                <c:ptCount val="15"/>
                <c:pt idx="0">
                  <c:v>178602.59277366652</c:v>
                </c:pt>
                <c:pt idx="1">
                  <c:v>136563.89662255396</c:v>
                </c:pt>
                <c:pt idx="2">
                  <c:v>129915.25093249348</c:v>
                </c:pt>
                <c:pt idx="3">
                  <c:v>116027.34063386369</c:v>
                </c:pt>
                <c:pt idx="4">
                  <c:v>123007.23397521478</c:v>
                </c:pt>
                <c:pt idx="5">
                  <c:v>126579.44209368022</c:v>
                </c:pt>
                <c:pt idx="6">
                  <c:v>124896.76208288626</c:v>
                </c:pt>
                <c:pt idx="7">
                  <c:v>118438.8645585874</c:v>
                </c:pt>
                <c:pt idx="8">
                  <c:v>121765.61325942179</c:v>
                </c:pt>
                <c:pt idx="9">
                  <c:v>116336.0233445354</c:v>
                </c:pt>
                <c:pt idx="10">
                  <c:v>116609.99384093835</c:v>
                </c:pt>
                <c:pt idx="11">
                  <c:v>119223.73022267909</c:v>
                </c:pt>
                <c:pt idx="12">
                  <c:v>118139.27718731249</c:v>
                </c:pt>
                <c:pt idx="13">
                  <c:v>104199.33525839374</c:v>
                </c:pt>
                <c:pt idx="14">
                  <c:v>99338.759705327364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7577632"/>
        <c:axId val="216800792"/>
      </c:barChart>
      <c:catAx>
        <c:axId val="21757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800792"/>
        <c:crosses val="autoZero"/>
        <c:auto val="1"/>
        <c:lblAlgn val="ctr"/>
        <c:lblOffset val="100"/>
        <c:noMultiLvlLbl val="0"/>
      </c:catAx>
      <c:valAx>
        <c:axId val="21680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57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Energy</a:t>
            </a:r>
            <a:r>
              <a:rPr lang="en-US" baseline="0"/>
              <a:t> Usage Reduction (kBTUs / ft</a:t>
            </a:r>
            <a:r>
              <a:rPr lang="en-US" baseline="30000"/>
              <a:t>2</a:t>
            </a:r>
            <a:r>
              <a:rPr lang="en-US" baseline="0"/>
              <a:t>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WCU!$B$29:$B$42</c:f>
              <c:strCache>
                <c:ptCount val="14"/>
                <c:pt idx="0">
                  <c:v> 2003-04</c:v>
                </c:pt>
                <c:pt idx="1">
                  <c:v> 2004-05</c:v>
                </c:pt>
                <c:pt idx="2">
                  <c:v>2005-06</c:v>
                </c:pt>
                <c:pt idx="3">
                  <c:v> 2006-07</c:v>
                </c:pt>
                <c:pt idx="4">
                  <c:v> 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  <c:pt idx="12">
                  <c:v>2015-16</c:v>
                </c:pt>
                <c:pt idx="13">
                  <c:v>2016-17</c:v>
                </c:pt>
              </c:strCache>
            </c:strRef>
          </c:cat>
          <c:val>
            <c:numRef>
              <c:f>WCU!$I$29:$I$42</c:f>
              <c:numCache>
                <c:formatCode>0%</c:formatCode>
                <c:ptCount val="14"/>
                <c:pt idx="0">
                  <c:v>-0.23537562080291818</c:v>
                </c:pt>
                <c:pt idx="1">
                  <c:v>-0.27260154001723758</c:v>
                </c:pt>
                <c:pt idx="2">
                  <c:v>-0.35036026727283343</c:v>
                </c:pt>
                <c:pt idx="3">
                  <c:v>-0.31127968488623647</c:v>
                </c:pt>
                <c:pt idx="4">
                  <c:v>-0.29127880996617139</c:v>
                </c:pt>
                <c:pt idx="5">
                  <c:v>-0.3007001738146029</c:v>
                </c:pt>
                <c:pt idx="6">
                  <c:v>-0.33685808968810094</c:v>
                </c:pt>
                <c:pt idx="7">
                  <c:v>-0.31823154765883599</c:v>
                </c:pt>
                <c:pt idx="8">
                  <c:v>-0.34863194571894152</c:v>
                </c:pt>
                <c:pt idx="9">
                  <c:v>-0.34709797864630143</c:v>
                </c:pt>
                <c:pt idx="10">
                  <c:v>-0.33246360889192172</c:v>
                </c:pt>
                <c:pt idx="11">
                  <c:v>-0.33853548622878027</c:v>
                </c:pt>
                <c:pt idx="12">
                  <c:v>-0.41658553977186674</c:v>
                </c:pt>
                <c:pt idx="13">
                  <c:v>-0.44380001341182074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8699992"/>
        <c:axId val="248672880"/>
      </c:barChart>
      <c:catAx>
        <c:axId val="24869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672880"/>
        <c:crosses val="autoZero"/>
        <c:auto val="1"/>
        <c:lblAlgn val="ctr"/>
        <c:lblOffset val="100"/>
        <c:noMultiLvlLbl val="0"/>
      </c:catAx>
      <c:valAx>
        <c:axId val="24867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699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Utility Cost per ft2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WCU!$BD$2:$BD$16</c:f>
              <c:strCache>
                <c:ptCount val="15"/>
                <c:pt idx="0">
                  <c:v> 2002-03</c:v>
                </c:pt>
                <c:pt idx="1">
                  <c:v> 2003-04</c:v>
                </c:pt>
                <c:pt idx="2">
                  <c:v> 2004-05</c:v>
                </c:pt>
                <c:pt idx="3">
                  <c:v>2005-06</c:v>
                </c:pt>
                <c:pt idx="4">
                  <c:v> 2006-07</c:v>
                </c:pt>
                <c:pt idx="5">
                  <c:v> 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</c:strCache>
            </c:strRef>
          </c:cat>
          <c:val>
            <c:numRef>
              <c:f>WCU!$BG$2:$BG$16</c:f>
              <c:numCache>
                <c:formatCode>"$"#,##0.00_);\("$"#,##0.00\)</c:formatCode>
                <c:ptCount val="15"/>
                <c:pt idx="0">
                  <c:v>1.3058948937091615</c:v>
                </c:pt>
                <c:pt idx="1">
                  <c:v>1.4014292561976454</c:v>
                </c:pt>
                <c:pt idx="2">
                  <c:v>1.3894190344904267</c:v>
                </c:pt>
                <c:pt idx="3">
                  <c:v>1.6038350168116189</c:v>
                </c:pt>
                <c:pt idx="4">
                  <c:v>1.5489462520416362</c:v>
                </c:pt>
                <c:pt idx="5">
                  <c:v>1.7480173852969219</c:v>
                </c:pt>
                <c:pt idx="6">
                  <c:v>1.5322625367979665</c:v>
                </c:pt>
                <c:pt idx="7">
                  <c:v>1.496040795356538</c:v>
                </c:pt>
                <c:pt idx="8">
                  <c:v>1.4343043554129047</c:v>
                </c:pt>
                <c:pt idx="9">
                  <c:v>1.4529325399162181</c:v>
                </c:pt>
                <c:pt idx="10">
                  <c:v>1.4722199019944369</c:v>
                </c:pt>
                <c:pt idx="11">
                  <c:v>1.583049332787662</c:v>
                </c:pt>
                <c:pt idx="12">
                  <c:v>1.5088119560068445</c:v>
                </c:pt>
                <c:pt idx="13">
                  <c:v>1.3211555002722988</c:v>
                </c:pt>
                <c:pt idx="14">
                  <c:v>1.2382292531657704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8669784"/>
        <c:axId val="217797416"/>
      </c:barChart>
      <c:catAx>
        <c:axId val="24866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797416"/>
        <c:crosses val="autoZero"/>
        <c:auto val="1"/>
        <c:lblAlgn val="ctr"/>
        <c:lblOffset val="100"/>
        <c:noMultiLvlLbl val="0"/>
      </c:catAx>
      <c:valAx>
        <c:axId val="21779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.00_);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669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FY2016/17 Energy Usage by Source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2"/>
              <c:layout>
                <c:manualLayout>
                  <c:x val="-4.240434182708009E-2"/>
                  <c:y val="0.112271070282881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7208322069626119E-2"/>
                  <c:y val="0.11690069991251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727702156850136E-2"/>
                  <c:y val="0.209493292505103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'Usage and cost by fuel'!$W$2:$AA$3</c:f>
              <c:multiLvlStrCache>
                <c:ptCount val="5"/>
                <c:lvl>
                  <c:pt idx="0">
                    <c:v>kWh</c:v>
                  </c:pt>
                  <c:pt idx="1">
                    <c:v>NG</c:v>
                  </c:pt>
                  <c:pt idx="2">
                    <c:v>#2 oil</c:v>
                  </c:pt>
                  <c:pt idx="3">
                    <c:v>#6 oil</c:v>
                  </c:pt>
                  <c:pt idx="4">
                    <c:v>Propane</c:v>
                  </c:pt>
                </c:lvl>
                <c:lvl>
                  <c:pt idx="0">
                    <c:v>MMBTUs</c:v>
                  </c:pt>
                </c:lvl>
              </c:multiLvlStrCache>
            </c:multiLvlStrRef>
          </c:cat>
          <c:val>
            <c:numRef>
              <c:f>'Usage and cost by fuel'!$W$4:$AA$4</c:f>
              <c:numCache>
                <c:formatCode>#,##0</c:formatCode>
                <c:ptCount val="5"/>
                <c:pt idx="0">
                  <c:v>148503.212424</c:v>
                </c:pt>
                <c:pt idx="1">
                  <c:v>167802.7</c:v>
                </c:pt>
                <c:pt idx="2">
                  <c:v>3306.5082900000002</c:v>
                </c:pt>
                <c:pt idx="3">
                  <c:v>299.38</c:v>
                </c:pt>
                <c:pt idx="4">
                  <c:v>334.60538760000003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FY2016-17</a:t>
            </a:r>
            <a:r>
              <a:rPr lang="en-US" baseline="0"/>
              <a:t> </a:t>
            </a:r>
            <a:r>
              <a:rPr lang="en-US"/>
              <a:t>Utility</a:t>
            </a:r>
            <a:r>
              <a:rPr lang="en-US" baseline="0"/>
              <a:t> cost by source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'Usage and cost by fuel'!$Q$37</c:f>
              <c:strCache>
                <c:ptCount val="1"/>
                <c:pt idx="0">
                  <c:v>2016-17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5.1153980752405952E-2"/>
                  <c:y val="-2.167177019539224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9414916885389323E-2"/>
                  <c:y val="0.347958223972003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8643482064741906"/>
                  <c:y val="0.1514176873724117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48608420822397191"/>
                  <c:y val="0.1467880577427820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42275984251968501"/>
                  <c:y val="-2.517497812773403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'Usage and cost by fuel'!$R$36:$W$36</c:f>
              <c:strCache>
                <c:ptCount val="6"/>
                <c:pt idx="0">
                  <c:v>Electric</c:v>
                </c:pt>
                <c:pt idx="1">
                  <c:v>Natural Gas</c:v>
                </c:pt>
                <c:pt idx="2">
                  <c:v>#2 Oil</c:v>
                </c:pt>
                <c:pt idx="3">
                  <c:v>#6 Oil</c:v>
                </c:pt>
                <c:pt idx="4">
                  <c:v>Propane</c:v>
                </c:pt>
                <c:pt idx="5">
                  <c:v>Water</c:v>
                </c:pt>
              </c:strCache>
            </c:strRef>
          </c:cat>
          <c:val>
            <c:numRef>
              <c:f>'Usage and cost by fuel'!$R$37:$W$37</c:f>
              <c:numCache>
                <c:formatCode>_("$"* #,##0.00_);_("$"* \(#,##0.00\);_("$"* "-"??_);_(@_)</c:formatCode>
                <c:ptCount val="6"/>
                <c:pt idx="0">
                  <c:v>2762869.71</c:v>
                </c:pt>
                <c:pt idx="1">
                  <c:v>764069.27</c:v>
                </c:pt>
                <c:pt idx="2">
                  <c:v>46437.99</c:v>
                </c:pt>
                <c:pt idx="3">
                  <c:v>5400</c:v>
                </c:pt>
                <c:pt idx="4">
                  <c:v>3950.71</c:v>
                </c:pt>
                <c:pt idx="5">
                  <c:v>409052.26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Historic Electric and NG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'Historical Costs'!$G$3</c:f>
              <c:strCache>
                <c:ptCount val="1"/>
                <c:pt idx="0">
                  <c:v>NG DT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'Historical Costs'!$E$4:$E$18</c:f>
              <c:strCache>
                <c:ptCount val="15"/>
                <c:pt idx="0">
                  <c:v>2002-03</c:v>
                </c:pt>
                <c:pt idx="1">
                  <c:v> 2003-04</c:v>
                </c:pt>
                <c:pt idx="2">
                  <c:v> 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</c:strCache>
            </c:strRef>
          </c:cat>
          <c:val>
            <c:numRef>
              <c:f>'Historical Costs'!$G$4:$G$18</c:f>
              <c:numCache>
                <c:formatCode>_("$"* #,##0.00_);_("$"* \(#,##0.00\);_("$"* "-"??_);_(@_)</c:formatCode>
                <c:ptCount val="15"/>
                <c:pt idx="1">
                  <c:v>6.0706813186813191</c:v>
                </c:pt>
                <c:pt idx="2">
                  <c:v>6.4386750885586022</c:v>
                </c:pt>
                <c:pt idx="3">
                  <c:v>8.2038340821531559</c:v>
                </c:pt>
                <c:pt idx="4">
                  <c:v>10.035421557182712</c:v>
                </c:pt>
                <c:pt idx="5">
                  <c:v>16.056258032327545</c:v>
                </c:pt>
                <c:pt idx="6">
                  <c:v>7.975640549042037</c:v>
                </c:pt>
                <c:pt idx="7">
                  <c:v>6.6148455885996436</c:v>
                </c:pt>
                <c:pt idx="8">
                  <c:v>5.8164462992576418</c:v>
                </c:pt>
                <c:pt idx="9">
                  <c:v>5.563715022377246</c:v>
                </c:pt>
                <c:pt idx="10">
                  <c:v>5.6060236142920115</c:v>
                </c:pt>
                <c:pt idx="11">
                  <c:v>6.0320629851837504</c:v>
                </c:pt>
                <c:pt idx="12">
                  <c:v>5.3463607789128069</c:v>
                </c:pt>
                <c:pt idx="13">
                  <c:v>4.8599242870422268</c:v>
                </c:pt>
                <c:pt idx="14">
                  <c:v>4.54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8407720"/>
        <c:axId val="216817440"/>
      </c:lineChart>
      <c:lineChart>
        <c:grouping val="standard"/>
        <c:varyColors val="0"/>
        <c:ser>
          <c:idx val="0"/>
          <c:order val="0"/>
          <c:tx>
            <c:strRef>
              <c:f>'Historical Costs'!$F$3</c:f>
              <c:strCache>
                <c:ptCount val="1"/>
                <c:pt idx="0">
                  <c:v> $/kwh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'Historical Costs'!$E$4:$E$18</c:f>
              <c:strCache>
                <c:ptCount val="15"/>
                <c:pt idx="0">
                  <c:v>2002-03</c:v>
                </c:pt>
                <c:pt idx="1">
                  <c:v> 2003-04</c:v>
                </c:pt>
                <c:pt idx="2">
                  <c:v> 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</c:strCache>
            </c:strRef>
          </c:cat>
          <c:val>
            <c:numRef>
              <c:f>'Historical Costs'!$F$4:$F$18</c:f>
              <c:numCache>
                <c:formatCode>_("$"* #,##0.000_);_("$"* \(#,##0.000\);_("$"* "-"??_);_(@_)</c:formatCode>
                <c:ptCount val="15"/>
                <c:pt idx="0">
                  <c:v>4.6285510708021782E-2</c:v>
                </c:pt>
                <c:pt idx="1">
                  <c:v>4.7180662649301278E-2</c:v>
                </c:pt>
                <c:pt idx="2">
                  <c:v>4.8117028113428821E-2</c:v>
                </c:pt>
                <c:pt idx="3">
                  <c:v>5.4996027373920946E-2</c:v>
                </c:pt>
                <c:pt idx="4">
                  <c:v>5.6883561164191701E-2</c:v>
                </c:pt>
                <c:pt idx="5">
                  <c:v>5.0691987844378936E-2</c:v>
                </c:pt>
                <c:pt idx="6">
                  <c:v>5.3995675882774909E-2</c:v>
                </c:pt>
                <c:pt idx="7">
                  <c:v>5.8320360397865638E-2</c:v>
                </c:pt>
                <c:pt idx="8">
                  <c:v>5.740581978029817E-2</c:v>
                </c:pt>
                <c:pt idx="9">
                  <c:v>6.0713702588775544E-2</c:v>
                </c:pt>
                <c:pt idx="10">
                  <c:v>6.4339865537185667E-2</c:v>
                </c:pt>
                <c:pt idx="11">
                  <c:v>6.5027313587717545E-2</c:v>
                </c:pt>
                <c:pt idx="12">
                  <c:v>6.504245903447807E-2</c:v>
                </c:pt>
                <c:pt idx="13">
                  <c:v>6.5727340702654402E-2</c:v>
                </c:pt>
                <c:pt idx="14">
                  <c:v>6.3E-2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9527280"/>
        <c:axId val="216793672"/>
      </c:lineChart>
      <c:catAx>
        <c:axId val="24840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817440"/>
        <c:crosses val="autoZero"/>
        <c:auto val="1"/>
        <c:lblAlgn val="ctr"/>
        <c:lblOffset val="100"/>
        <c:noMultiLvlLbl val="0"/>
      </c:catAx>
      <c:valAx>
        <c:axId val="21681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407720"/>
        <c:crosses val="autoZero"/>
        <c:crossBetween val="between"/>
      </c:valAx>
      <c:valAx>
        <c:axId val="216793672"/>
        <c:scaling>
          <c:orientation val="minMax"/>
        </c:scaling>
        <c:delete val="0"/>
        <c:axPos val="r"/>
        <c:numFmt formatCode="_(&quot;$&quot;* #,##0.000_);_(&quot;$&quot;* \(#,##0.0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27280"/>
        <c:crosses val="max"/>
        <c:crossBetween val="between"/>
      </c:valAx>
      <c:catAx>
        <c:axId val="249527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6793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Historic Electric</a:t>
            </a:r>
            <a:r>
              <a:rPr lang="en-US" baseline="0"/>
              <a:t> and NG costs - MMBTUs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'Historical Costs'!$I$3</c:f>
              <c:strCache>
                <c:ptCount val="1"/>
                <c:pt idx="0">
                  <c:v>Elec MMBTU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'Historical Costs'!$E$4:$E$18</c:f>
              <c:strCache>
                <c:ptCount val="15"/>
                <c:pt idx="0">
                  <c:v>2002-03</c:v>
                </c:pt>
                <c:pt idx="1">
                  <c:v> 2003-04</c:v>
                </c:pt>
                <c:pt idx="2">
                  <c:v> 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</c:strCache>
            </c:strRef>
          </c:cat>
          <c:val>
            <c:numRef>
              <c:f>'Historical Costs'!$I$4:$I$18</c:f>
              <c:numCache>
                <c:formatCode>_("$"* #,##0.00_);_("$"* \(#,##0.00\);_("$"* "-"??_);_(@_)</c:formatCode>
                <c:ptCount val="15"/>
                <c:pt idx="1">
                  <c:v>13.827861268845627</c:v>
                </c:pt>
                <c:pt idx="2">
                  <c:v>14.102294288812667</c:v>
                </c:pt>
                <c:pt idx="3">
                  <c:v>16.118413650035446</c:v>
                </c:pt>
                <c:pt idx="4">
                  <c:v>16.671618160665798</c:v>
                </c:pt>
                <c:pt idx="5">
                  <c:v>14.856971818399453</c:v>
                </c:pt>
                <c:pt idx="6">
                  <c:v>15.825227398234146</c:v>
                </c:pt>
                <c:pt idx="7">
                  <c:v>17.092719929034477</c:v>
                </c:pt>
                <c:pt idx="8">
                  <c:v>16.824683405714588</c:v>
                </c:pt>
                <c:pt idx="9">
                  <c:v>17.794168402337498</c:v>
                </c:pt>
                <c:pt idx="10">
                  <c:v>18.85693597221151</c:v>
                </c:pt>
                <c:pt idx="11">
                  <c:v>19.058415471195058</c:v>
                </c:pt>
                <c:pt idx="12">
                  <c:v>19.062854347736831</c:v>
                </c:pt>
                <c:pt idx="13">
                  <c:v>19.263581683075731</c:v>
                </c:pt>
                <c:pt idx="14">
                  <c:v>18.464243845252053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'Historical Costs'!$J$3</c:f>
              <c:strCache>
                <c:ptCount val="1"/>
                <c:pt idx="0">
                  <c:v>NG MMBTU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'Historical Costs'!$E$4:$E$18</c:f>
              <c:strCache>
                <c:ptCount val="15"/>
                <c:pt idx="0">
                  <c:v>2002-03</c:v>
                </c:pt>
                <c:pt idx="1">
                  <c:v> 2003-04</c:v>
                </c:pt>
                <c:pt idx="2">
                  <c:v> 2004-05</c:v>
                </c:pt>
                <c:pt idx="3">
                  <c:v>2005-06</c:v>
                </c:pt>
                <c:pt idx="4">
                  <c:v>2006-07</c:v>
                </c:pt>
                <c:pt idx="5">
                  <c:v>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</c:strCache>
            </c:strRef>
          </c:cat>
          <c:val>
            <c:numRef>
              <c:f>'Historical Costs'!$J$4:$J$18</c:f>
              <c:numCache>
                <c:formatCode>_("$"* #,##0.00_);_("$"* \(#,##0.00\);_("$"* "-"??_);_(@_)</c:formatCode>
                <c:ptCount val="15"/>
                <c:pt idx="1">
                  <c:v>6.0706813186813191</c:v>
                </c:pt>
                <c:pt idx="2">
                  <c:v>6.4386750885586022</c:v>
                </c:pt>
                <c:pt idx="3">
                  <c:v>8.2038340821531559</c:v>
                </c:pt>
                <c:pt idx="4">
                  <c:v>10.035421557182712</c:v>
                </c:pt>
                <c:pt idx="5">
                  <c:v>16.056258032327545</c:v>
                </c:pt>
                <c:pt idx="6">
                  <c:v>7.975640549042037</c:v>
                </c:pt>
                <c:pt idx="7">
                  <c:v>6.6148455885996436</c:v>
                </c:pt>
                <c:pt idx="8">
                  <c:v>5.8164462992576418</c:v>
                </c:pt>
                <c:pt idx="9">
                  <c:v>5.563715022377246</c:v>
                </c:pt>
                <c:pt idx="10">
                  <c:v>5.6060236142920115</c:v>
                </c:pt>
                <c:pt idx="11">
                  <c:v>6.0320629851837504</c:v>
                </c:pt>
                <c:pt idx="12">
                  <c:v>5.3463607789128069</c:v>
                </c:pt>
                <c:pt idx="13">
                  <c:v>4.8599242870422268</c:v>
                </c:pt>
                <c:pt idx="14">
                  <c:v>4.54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9528064"/>
        <c:axId val="249528456"/>
      </c:lineChart>
      <c:catAx>
        <c:axId val="24952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28456"/>
        <c:crosses val="autoZero"/>
        <c:auto val="1"/>
        <c:lblAlgn val="ctr"/>
        <c:lblOffset val="100"/>
        <c:noMultiLvlLbl val="0"/>
      </c:catAx>
      <c:valAx>
        <c:axId val="24952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52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</a:t>
            </a:r>
            <a:r>
              <a:rPr lang="en-US" baseline="0"/>
              <a:t> Costs and Energy Usage Intensity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69510523329426"/>
          <c:y val="0.13199273461738492"/>
          <c:w val="0.79452465101687708"/>
          <c:h val="0.63459311839816357"/>
        </c:manualLayout>
      </c:layout>
      <c:lineChart>
        <c:grouping val="stacked"/>
        <c:varyColors val="0"/>
        <c:ser>
          <c:idx val="1"/>
          <c:order val="1"/>
          <c:tx>
            <c:strRef>
              <c:f>'Energy Evaluation'!$Q$2</c:f>
              <c:strCache>
                <c:ptCount val="1"/>
                <c:pt idx="0">
                  <c:v>BTU/SF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9.9035649369206544E-2"/>
                  <c:y val="-4.8023777992055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4959828020888871E-2"/>
                  <c:y val="9.7611671342776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057106320078736E-2"/>
                  <c:y val="7.057452400546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691208014326454E-2"/>
                  <c:y val="6.9655158205695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534344058307232E-2"/>
                  <c:y val="3.5527926331756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7651992025321596E-2"/>
                  <c:y val="3.5527926331756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1377480102288079E-2"/>
                  <c:y val="4.6903670289736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765199202532145E-2"/>
                  <c:y val="2.1308246384282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'Energy Evaluation'!$P$3:$P$17</c:f>
              <c:strCache>
                <c:ptCount val="15"/>
                <c:pt idx="0">
                  <c:v> 2002-03</c:v>
                </c:pt>
                <c:pt idx="1">
                  <c:v> 2003-04</c:v>
                </c:pt>
                <c:pt idx="2">
                  <c:v> 2004-05</c:v>
                </c:pt>
                <c:pt idx="3">
                  <c:v>2005-06</c:v>
                </c:pt>
                <c:pt idx="4">
                  <c:v> 2006-07</c:v>
                </c:pt>
                <c:pt idx="5">
                  <c:v> 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</c:strCache>
            </c:strRef>
          </c:cat>
          <c:val>
            <c:numRef>
              <c:f>'Energy Evaluation'!$Q$3:$Q$17</c:f>
              <c:numCache>
                <c:formatCode>#,##0</c:formatCode>
                <c:ptCount val="15"/>
                <c:pt idx="0">
                  <c:v>178602.59277366652</c:v>
                </c:pt>
                <c:pt idx="1">
                  <c:v>136563.89662255396</c:v>
                </c:pt>
                <c:pt idx="2">
                  <c:v>129915.25093249348</c:v>
                </c:pt>
                <c:pt idx="3">
                  <c:v>116027.34063386369</c:v>
                </c:pt>
                <c:pt idx="4">
                  <c:v>123007.23397521478</c:v>
                </c:pt>
                <c:pt idx="5">
                  <c:v>126579.44209368022</c:v>
                </c:pt>
                <c:pt idx="6">
                  <c:v>124896.76208288626</c:v>
                </c:pt>
                <c:pt idx="7">
                  <c:v>118438.8645585874</c:v>
                </c:pt>
                <c:pt idx="8">
                  <c:v>121765.61325942179</c:v>
                </c:pt>
                <c:pt idx="9">
                  <c:v>116336.0233445354</c:v>
                </c:pt>
                <c:pt idx="10">
                  <c:v>116609.99384093835</c:v>
                </c:pt>
                <c:pt idx="11">
                  <c:v>119223.73022267909</c:v>
                </c:pt>
                <c:pt idx="12">
                  <c:v>118139.27718731249</c:v>
                </c:pt>
                <c:pt idx="13">
                  <c:v>104199.33525839374</c:v>
                </c:pt>
                <c:pt idx="14">
                  <c:v>99339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021528"/>
        <c:axId val="217021136"/>
      </c:lineChart>
      <c:lineChart>
        <c:grouping val="stacked"/>
        <c:varyColors val="0"/>
        <c:ser>
          <c:idx val="0"/>
          <c:order val="0"/>
          <c:tx>
            <c:strRef>
              <c:f>'Energy Evaluation'!$R$2</c:f>
              <c:strCache>
                <c:ptCount val="1"/>
                <c:pt idx="0">
                  <c:v>$/MMBTU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4946111634072623E-2"/>
                  <c:y val="6.6811222216200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'Energy Evaluation'!$P$3:$P$17</c:f>
              <c:strCache>
                <c:ptCount val="15"/>
                <c:pt idx="0">
                  <c:v> 2002-03</c:v>
                </c:pt>
                <c:pt idx="1">
                  <c:v> 2003-04</c:v>
                </c:pt>
                <c:pt idx="2">
                  <c:v> 2004-05</c:v>
                </c:pt>
                <c:pt idx="3">
                  <c:v>2005-06</c:v>
                </c:pt>
                <c:pt idx="4">
                  <c:v> 2006-07</c:v>
                </c:pt>
                <c:pt idx="5">
                  <c:v> 2007-08</c:v>
                </c:pt>
                <c:pt idx="6">
                  <c:v>2008-09</c:v>
                </c:pt>
                <c:pt idx="7">
                  <c:v>2009-10</c:v>
                </c:pt>
                <c:pt idx="8">
                  <c:v>2010-11</c:v>
                </c:pt>
                <c:pt idx="9">
                  <c:v>2011-12</c:v>
                </c:pt>
                <c:pt idx="10">
                  <c:v>2012-13</c:v>
                </c:pt>
                <c:pt idx="11">
                  <c:v>2013-14</c:v>
                </c:pt>
                <c:pt idx="12">
                  <c:v>2014-15</c:v>
                </c:pt>
                <c:pt idx="13">
                  <c:v>2015-16</c:v>
                </c:pt>
                <c:pt idx="14">
                  <c:v>2016-17</c:v>
                </c:pt>
              </c:strCache>
            </c:strRef>
          </c:cat>
          <c:val>
            <c:numRef>
              <c:f>'Energy Evaluation'!$R$3:$R$17</c:f>
              <c:numCache>
                <c:formatCode>"$"#,##0.00</c:formatCode>
                <c:ptCount val="15"/>
                <c:pt idx="0">
                  <c:v>6.3620696956746494</c:v>
                </c:pt>
                <c:pt idx="1">
                  <c:v>9.1925832437496044</c:v>
                </c:pt>
                <c:pt idx="2">
                  <c:v>9.5956960181695603</c:v>
                </c:pt>
                <c:pt idx="3">
                  <c:v>12.806894955323768</c:v>
                </c:pt>
                <c:pt idx="4">
                  <c:v>11.664471325742749</c:v>
                </c:pt>
                <c:pt idx="5">
                  <c:v>12.895410567700505</c:v>
                </c:pt>
                <c:pt idx="6">
                  <c:v>11.362944299598764</c:v>
                </c:pt>
                <c:pt idx="7">
                  <c:v>11.714867457574567</c:v>
                </c:pt>
                <c:pt idx="8">
                  <c:v>10.922476552134762</c:v>
                </c:pt>
                <c:pt idx="9">
                  <c:v>11.507169367426698</c:v>
                </c:pt>
                <c:pt idx="10">
                  <c:v>11.781554506941113</c:v>
                </c:pt>
                <c:pt idx="11">
                  <c:v>12.393752758505508</c:v>
                </c:pt>
                <c:pt idx="12">
                  <c:v>11.765449701388002</c:v>
                </c:pt>
                <c:pt idx="13">
                  <c:v>11.585123468839635</c:v>
                </c:pt>
                <c:pt idx="14">
                  <c:v>11.19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020352"/>
        <c:axId val="217020744"/>
      </c:lineChart>
      <c:catAx>
        <c:axId val="21702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021136"/>
        <c:crosses val="autoZero"/>
        <c:auto val="1"/>
        <c:lblAlgn val="ctr"/>
        <c:lblOffset val="100"/>
        <c:noMultiLvlLbl val="0"/>
      </c:catAx>
      <c:valAx>
        <c:axId val="217021136"/>
        <c:scaling>
          <c:orientation val="minMax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021528"/>
        <c:crosses val="autoZero"/>
        <c:crossBetween val="between"/>
      </c:valAx>
      <c:valAx>
        <c:axId val="217020744"/>
        <c:scaling>
          <c:orientation val="minMax"/>
          <c:min val="4"/>
        </c:scaling>
        <c:delete val="0"/>
        <c:axPos val="r"/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020352"/>
        <c:crosses val="max"/>
        <c:crossBetween val="between"/>
      </c:valAx>
      <c:catAx>
        <c:axId val="21702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7020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554490</xdr:colOff>
      <xdr:row>23</xdr:row>
      <xdr:rowOff>80596</xdr:rowOff>
    </xdr:from>
    <xdr:to>
      <xdr:col>41</xdr:col>
      <xdr:colOff>329712</xdr:colOff>
      <xdr:row>44</xdr:row>
      <xdr:rowOff>140153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554491</xdr:colOff>
      <xdr:row>47</xdr:row>
      <xdr:rowOff>9526</xdr:rowOff>
    </xdr:from>
    <xdr:to>
      <xdr:col>40</xdr:col>
      <xdr:colOff>813027</xdr:colOff>
      <xdr:row>66</xdr:row>
      <xdr:rowOff>38101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581704</xdr:colOff>
      <xdr:row>18</xdr:row>
      <xdr:rowOff>34019</xdr:rowOff>
    </xdr:from>
    <xdr:to>
      <xdr:col>64</xdr:col>
      <xdr:colOff>401410</xdr:colOff>
      <xdr:row>44</xdr:row>
      <xdr:rowOff>88446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301624</xdr:colOff>
      <xdr:row>6</xdr:row>
      <xdr:rowOff>45243</xdr:rowOff>
    </xdr:from>
    <xdr:to>
      <xdr:col>28</xdr:col>
      <xdr:colOff>595312</xdr:colOff>
      <xdr:row>23</xdr:row>
      <xdr:rowOff>89693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436562</xdr:colOff>
      <xdr:row>43</xdr:row>
      <xdr:rowOff>29368</xdr:rowOff>
    </xdr:from>
    <xdr:to>
      <xdr:col>21</xdr:col>
      <xdr:colOff>682625</xdr:colOff>
      <xdr:row>60</xdr:row>
      <xdr:rowOff>73818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352424</xdr:colOff>
      <xdr:row>0</xdr:row>
      <xdr:rowOff>133350</xdr:rowOff>
    </xdr:from>
    <xdr:to>
      <xdr:col>22</xdr:col>
      <xdr:colOff>590550</xdr:colOff>
      <xdr:row>29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438149</xdr:colOff>
      <xdr:row>28</xdr:row>
      <xdr:rowOff>66675</xdr:rowOff>
    </xdr:from>
    <xdr:to>
      <xdr:col>12</xdr:col>
      <xdr:colOff>180975</xdr:colOff>
      <xdr:row>56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285750</xdr:colOff>
      <xdr:row>2</xdr:row>
      <xdr:rowOff>55562</xdr:rowOff>
    </xdr:from>
    <xdr:to>
      <xdr:col>28</xdr:col>
      <xdr:colOff>119063</xdr:colOff>
      <xdr:row>29</xdr:row>
      <xdr:rowOff>92080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CUUser" refreshedDate="42955.387318171299" createdVersion="5" refreshedVersion="5" minRefreshableVersion="3" recordCount="23">
  <cacheSource type="worksheet">
    <worksheetSource ref="B52:E75" sheet="WCU"/>
  </cacheSource>
  <cacheFields count="4">
    <cacheField name="FY" numFmtId="0">
      <sharedItems count="23">
        <s v=" 2002-03"/>
        <s v=" 2003-04"/>
        <s v=" 2004-05"/>
        <s v="2005-06"/>
        <s v=" 2006-07"/>
        <s v=" 2007-08"/>
        <s v="2008-09"/>
        <s v="2009-10"/>
        <s v="2010-11"/>
        <s v="2011-12"/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  <s v="2023-24"/>
        <s v="2024-25"/>
      </sharedItems>
    </cacheField>
    <cacheField name="Name" numFmtId="0">
      <sharedItems/>
    </cacheField>
    <cacheField name="$/kwh" numFmtId="169">
      <sharedItems containsSemiMixedTypes="0" containsString="0" containsNumber="1" minValue="0" maxValue="6.5727340702654402E-2"/>
    </cacheField>
    <cacheField name="$/therm" numFmtId="170">
      <sharedItems containsSemiMixedTypes="0" containsString="0" containsNumber="1" minValue="0" maxValue="1.60562580323275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CUUser" refreshedDate="42956.670309259258" createdVersion="5" refreshedVersion="5" minRefreshableVersion="3" recordCount="23">
  <cacheSource type="worksheet">
    <worksheetSource ref="A1:AA24" sheet="WCU"/>
  </cacheSource>
  <cacheFields count="27">
    <cacheField name="id" numFmtId="0">
      <sharedItems containsSemiMixedTypes="0" containsString="0" containsNumber="1" containsInteger="1" minValue="60005010" maxValue="60005010"/>
    </cacheField>
    <cacheField name="year" numFmtId="49">
      <sharedItems count="23">
        <s v=" 2002-03"/>
        <s v=" 2003-04"/>
        <s v=" 2004-05"/>
        <s v="2005-06"/>
        <s v=" 2006-07"/>
        <s v=" 2007-08"/>
        <s v="2008-09"/>
        <s v="2009-10"/>
        <s v="2010-11"/>
        <s v="2011-12"/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  <s v="2023-24"/>
        <s v="2024-25"/>
      </sharedItems>
    </cacheField>
    <cacheField name="name" numFmtId="0">
      <sharedItems/>
    </cacheField>
    <cacheField name="total utility $" numFmtId="164">
      <sharedItems containsSemiMixedTypes="0" containsString="0" containsNumber="1" minValue="0" maxValue="4912534.5200000005"/>
    </cacheField>
    <cacheField name="total energy $" numFmtId="164">
      <sharedItems containsSemiMixedTypes="0" containsString="0" containsNumber="1" minValue="0" maxValue="4585394.4400000004"/>
    </cacheField>
    <cacheField name="total btu" numFmtId="3">
      <sharedItems containsSemiMixedTypes="0" containsString="0" containsNumber="1" minValue="0" maxValue="420668044837.59998"/>
    </cacheField>
    <cacheField name="kwh" numFmtId="3">
      <sharedItems containsSemiMixedTypes="0" containsString="0" containsNumber="1" containsInteger="1" minValue="0" maxValue="47990400"/>
    </cacheField>
    <cacheField name="kwh $" numFmtId="164">
      <sharedItems containsSemiMixedTypes="0" containsString="0" containsNumber="1" minValue="0" maxValue="3120686.79"/>
    </cacheField>
    <cacheField name="ng therms" numFmtId="0">
      <sharedItems containsSemiMixedTypes="0" containsString="0" containsNumber="1" containsInteger="1" minValue="0" maxValue="2043922"/>
    </cacheField>
    <cacheField name="ng $" numFmtId="164">
      <sharedItems containsSemiMixedTypes="0" containsString="0" containsNumber="1" minValue="0" maxValue="2051161.89"/>
    </cacheField>
    <cacheField name="2oil gals" numFmtId="3">
      <sharedItems containsSemiMixedTypes="0" containsString="0" containsNumber="1" minValue="0" maxValue="55712"/>
    </cacheField>
    <cacheField name="2oil $" numFmtId="164">
      <sharedItems containsSemiMixedTypes="0" containsString="0" containsNumber="1" minValue="0" maxValue="131258.73000000001"/>
    </cacheField>
    <cacheField name="6 oil gals" numFmtId="3">
      <sharedItems containsSemiMixedTypes="0" containsString="0" containsNumber="1" containsInteger="1" minValue="0" maxValue="996969"/>
    </cacheField>
    <cacheField name="6oil $" numFmtId="164">
      <sharedItems containsSemiMixedTypes="0" containsString="0" containsNumber="1" minValue="0" maxValue="1016520"/>
    </cacheField>
    <cacheField name="propane gals" numFmtId="0">
      <sharedItems containsSemiMixedTypes="0" containsString="0" containsNumber="1" minValue="0" maxValue="30668.2"/>
    </cacheField>
    <cacheField name="propane $" numFmtId="0">
      <sharedItems containsSemiMixedTypes="0" containsString="0" containsNumber="1" minValue="0" maxValue="65578.399999999994"/>
    </cacheField>
    <cacheField name="coal tons" numFmtId="3">
      <sharedItems containsSemiMixedTypes="0" containsString="0" containsNumber="1" containsInteger="1" minValue="0" maxValue="0"/>
    </cacheField>
    <cacheField name="coal $" numFmtId="164">
      <sharedItems containsSemiMixedTypes="0" containsString="0" containsNumber="1" containsInteger="1" minValue="0" maxValue="0"/>
    </cacheField>
    <cacheField name="wood tons" numFmtId="3">
      <sharedItems containsSemiMixedTypes="0" containsString="0" containsNumber="1" containsInteger="1" minValue="0" maxValue="0"/>
    </cacheField>
    <cacheField name="wood $" numFmtId="164">
      <sharedItems containsSemiMixedTypes="0" containsString="0" containsNumber="1" containsInteger="1" minValue="0" maxValue="0"/>
    </cacheField>
    <cacheField name="steam klbs" numFmtId="3">
      <sharedItems containsSemiMixedTypes="0" containsString="0" containsNumber="1" containsInteger="1" minValue="0" maxValue="0"/>
    </cacheField>
    <cacheField name="steam $" numFmtId="164">
      <sharedItems containsSemiMixedTypes="0" containsString="0" containsNumber="1" containsInteger="1" minValue="0" maxValue="0"/>
    </cacheField>
    <cacheField name="chw tons" numFmtId="3">
      <sharedItems containsSemiMixedTypes="0" containsString="0" containsNumber="1" containsInteger="1" minValue="0" maxValue="0"/>
    </cacheField>
    <cacheField name="chw $" numFmtId="164">
      <sharedItems containsSemiMixedTypes="0" containsString="0" containsNumber="1" containsInteger="1" minValue="0" maxValue="0"/>
    </cacheField>
    <cacheField name="kgal water" numFmtId="3">
      <sharedItems containsSemiMixedTypes="0" containsString="0" containsNumber="1" minValue="0" maxValue="130967"/>
    </cacheField>
    <cacheField name="water sewer $" numFmtId="164">
      <sharedItems containsSemiMixedTypes="0" containsString="0" containsNumber="1" minValue="0" maxValue="409052.26"/>
    </cacheField>
    <cacheField name="gsf" numFmtId="3">
      <sharedItems containsSemiMixedTypes="0" containsString="0" containsNumber="1" containsInteger="1" minValue="0" maxValue="32237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s v="WCU"/>
    <n v="4.6285510708021782E-2"/>
    <n v="7.6863393802645327E-2"/>
  </r>
  <r>
    <x v="1"/>
    <s v="WCU"/>
    <n v="4.7180662649301278E-2"/>
    <n v="0.60706813186813191"/>
  </r>
  <r>
    <x v="2"/>
    <s v="WCU"/>
    <n v="4.8117028113428821E-2"/>
    <n v="0.64386750885586019"/>
  </r>
  <r>
    <x v="3"/>
    <s v="WCU"/>
    <n v="5.0691987844378936E-2"/>
    <n v="1.6056258032327544"/>
  </r>
  <r>
    <x v="4"/>
    <s v="WCU"/>
    <n v="5.4996027373920946E-2"/>
    <n v="0.82038340821531563"/>
  </r>
  <r>
    <x v="5"/>
    <s v="WCU"/>
    <n v="5.6883561164191701E-2"/>
    <n v="1.0035421557182711"/>
  </r>
  <r>
    <x v="6"/>
    <s v="WCU"/>
    <n v="5.3995675882774909E-2"/>
    <n v="0.79756405490420368"/>
  </r>
  <r>
    <x v="7"/>
    <s v="WCU"/>
    <n v="5.8320360397865638E-2"/>
    <n v="0.66148455885996438"/>
  </r>
  <r>
    <x v="8"/>
    <s v="WCU"/>
    <n v="5.740581978029817E-2"/>
    <n v="0.58164462992576416"/>
  </r>
  <r>
    <x v="9"/>
    <s v="WCU"/>
    <n v="6.0713702588775544E-2"/>
    <n v="0.55637150223772458"/>
  </r>
  <r>
    <x v="10"/>
    <s v="WCU"/>
    <n v="6.4339865537185667E-2"/>
    <n v="0.56060236142920117"/>
  </r>
  <r>
    <x v="11"/>
    <s v="WCU"/>
    <n v="6.5027313587717545E-2"/>
    <n v="0.60320629851837504"/>
  </r>
  <r>
    <x v="12"/>
    <s v="WCU"/>
    <n v="6.504245903447807E-2"/>
    <n v="0.53463607789128065"/>
  </r>
  <r>
    <x v="13"/>
    <s v="WCU"/>
    <n v="6.5727340702654402E-2"/>
    <n v="0.48599242870422271"/>
  </r>
  <r>
    <x v="14"/>
    <s v="WCU"/>
    <n v="6.3111899063230656E-2"/>
    <n v="0.45391592236036016"/>
  </r>
  <r>
    <x v="15"/>
    <s v="WCU"/>
    <n v="0"/>
    <n v="0"/>
  </r>
  <r>
    <x v="16"/>
    <s v="WCU"/>
    <n v="0"/>
    <n v="0"/>
  </r>
  <r>
    <x v="17"/>
    <s v="WCU"/>
    <n v="0"/>
    <n v="0"/>
  </r>
  <r>
    <x v="18"/>
    <s v="WCU"/>
    <n v="0"/>
    <n v="0"/>
  </r>
  <r>
    <x v="19"/>
    <s v="WCU"/>
    <n v="0"/>
    <n v="0"/>
  </r>
  <r>
    <x v="20"/>
    <s v="WCU"/>
    <n v="0"/>
    <n v="0"/>
  </r>
  <r>
    <x v="21"/>
    <s v="WCU"/>
    <n v="0"/>
    <n v="0"/>
  </r>
  <r>
    <x v="22"/>
    <s v="WCU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">
  <r>
    <n v="60005010"/>
    <x v="0"/>
    <s v="WCU"/>
    <n v="3075813.4199999995"/>
    <n v="2676319.4199999995"/>
    <n v="420668044837.59998"/>
    <n v="34665600"/>
    <n v="1604515"/>
    <n v="1444810"/>
    <n v="111053"/>
    <n v="47971"/>
    <n v="51114.39"/>
    <n v="996969"/>
    <n v="888599"/>
    <n v="22026"/>
    <n v="21038.03"/>
    <n v="0"/>
    <n v="0"/>
    <n v="0"/>
    <n v="0"/>
    <n v="0"/>
    <n v="0"/>
    <n v="0"/>
    <n v="0"/>
    <n v="122056"/>
    <n v="399494"/>
    <n v="2355330"/>
  </r>
  <r>
    <n v="60005010"/>
    <x v="1"/>
    <s v="WCU"/>
    <n v="3300828.37"/>
    <n v="2956822.37"/>
    <n v="321653042632"/>
    <n v="37039200"/>
    <n v="1747534"/>
    <n v="1606150"/>
    <n v="975042.48"/>
    <n v="45498"/>
    <n v="52605.89"/>
    <n v="171870"/>
    <n v="153188"/>
    <n v="28620"/>
    <n v="28452"/>
    <n v="0"/>
    <n v="0"/>
    <n v="0"/>
    <n v="0"/>
    <n v="0"/>
    <n v="0"/>
    <n v="0"/>
    <n v="0"/>
    <n v="115711"/>
    <n v="344006"/>
    <n v="2355330"/>
  </r>
  <r>
    <n v="60005010"/>
    <x v="2"/>
    <s v="WCU"/>
    <n v="3798839.76"/>
    <n v="3408429.76"/>
    <n v="355204015794.79999"/>
    <n v="41841570"/>
    <n v="2013292"/>
    <n v="1444806"/>
    <n v="930263.64"/>
    <n v="55712"/>
    <n v="82939.03"/>
    <n v="389041"/>
    <n v="360080.42"/>
    <n v="21798"/>
    <n v="21854.67"/>
    <n v="0"/>
    <n v="0"/>
    <n v="0"/>
    <n v="0"/>
    <n v="0"/>
    <n v="0"/>
    <n v="0"/>
    <n v="0"/>
    <n v="130967"/>
    <n v="390410"/>
    <n v="2734121"/>
  </r>
  <r>
    <n v="60005010"/>
    <x v="3"/>
    <s v="WCU"/>
    <n v="4385079"/>
    <n v="4062767"/>
    <n v="317232788601.20001"/>
    <n v="43963200"/>
    <n v="2228582"/>
    <n v="448967"/>
    <n v="720873"/>
    <n v="33921"/>
    <n v="64917"/>
    <n v="770367"/>
    <n v="1016520"/>
    <n v="25237"/>
    <n v="31875"/>
    <n v="0"/>
    <n v="0"/>
    <n v="0"/>
    <n v="0"/>
    <n v="0"/>
    <n v="0"/>
    <n v="0"/>
    <n v="0"/>
    <n v="119712"/>
    <n v="322312"/>
    <n v="2734121"/>
  </r>
  <r>
    <n v="60005010"/>
    <x v="4"/>
    <s v="WCU"/>
    <n v="4404131.2700000005"/>
    <n v="4079619.1300000004"/>
    <n v="349747452419.59998"/>
    <n v="42259200"/>
    <n v="2324088.12"/>
    <n v="1764777"/>
    <n v="1447793.77"/>
    <n v="32634"/>
    <n v="62223.73"/>
    <n v="146809"/>
    <n v="210092.7"/>
    <n v="28146"/>
    <n v="35420.81"/>
    <n v="0"/>
    <n v="0"/>
    <n v="0"/>
    <n v="0"/>
    <n v="0"/>
    <n v="0"/>
    <n v="0"/>
    <n v="0"/>
    <n v="115745"/>
    <n v="324512.14"/>
    <n v="2843308"/>
  </r>
  <r>
    <n v="60005010"/>
    <x v="5"/>
    <s v="WCU"/>
    <n v="4878277.7699999996"/>
    <n v="4555322.5"/>
    <n v="353251451443.49597"/>
    <n v="41697600"/>
    <n v="2371907.98"/>
    <n v="2043922"/>
    <n v="2051161.89"/>
    <n v="27912.099999999991"/>
    <n v="83837.97"/>
    <n v="3539"/>
    <n v="5062"/>
    <n v="23853.960000000003"/>
    <n v="43352.659999999989"/>
    <n v="0"/>
    <n v="0"/>
    <n v="0"/>
    <n v="0"/>
    <n v="0"/>
    <n v="0"/>
    <n v="0"/>
    <n v="0"/>
    <n v="112705"/>
    <n v="322955.26999999996"/>
    <n v="2790749"/>
  </r>
  <r>
    <n v="60005010"/>
    <x v="6"/>
    <s v="WCU"/>
    <n v="4388321.76"/>
    <n v="4064501.96"/>
    <n v="357697956870.52002"/>
    <n v="42627429"/>
    <n v="2301696.84"/>
    <n v="2028260"/>
    <n v="1617667.2700000003"/>
    <n v="36156.199999999997"/>
    <n v="65564.759999999995"/>
    <n v="29425"/>
    <n v="79370"/>
    <n v="87.7"/>
    <n v="203.09"/>
    <n v="0"/>
    <n v="0"/>
    <n v="0"/>
    <n v="0"/>
    <n v="0"/>
    <n v="0"/>
    <n v="0"/>
    <n v="0"/>
    <n v="104458"/>
    <n v="323819.8"/>
    <n v="2863949"/>
  </r>
  <r>
    <n v="60005010"/>
    <x v="7"/>
    <s v="WCU"/>
    <n v="4187337.4000000004"/>
    <n v="3883525.2600000002"/>
    <n v="331503986200.79999"/>
    <n v="44678400"/>
    <n v="2605660.39"/>
    <n v="1715385"/>
    <n v="1134700.69"/>
    <n v="26259.5"/>
    <n v="85505.7"/>
    <n v="7500"/>
    <n v="10681.5"/>
    <n v="30095.5"/>
    <n v="46976.98"/>
    <n v="0"/>
    <n v="0"/>
    <n v="0"/>
    <n v="0"/>
    <n v="0"/>
    <n v="0"/>
    <n v="0"/>
    <n v="0"/>
    <n v="95260"/>
    <n v="303812.13999999996"/>
    <n v="2798946"/>
  </r>
  <r>
    <n v="60005010"/>
    <x v="8"/>
    <s v="WCU"/>
    <n v="4175587"/>
    <n v="3871881"/>
    <n v="354487462758"/>
    <n v="44860800"/>
    <n v="2575271"/>
    <n v="1922925"/>
    <n v="1118459"/>
    <n v="45110"/>
    <n v="128022"/>
    <n v="3000"/>
    <n v="0"/>
    <n v="26455"/>
    <n v="50129"/>
    <n v="0"/>
    <n v="0"/>
    <n v="0"/>
    <n v="0"/>
    <n v="0"/>
    <n v="0"/>
    <n v="0"/>
    <n v="0"/>
    <n v="96188"/>
    <n v="303706"/>
    <n v="2911228"/>
  </r>
  <r>
    <n v="60005010"/>
    <x v="9"/>
    <s v="WCU"/>
    <n v="4293145.41"/>
    <n v="3955604.55"/>
    <n v="343751310482.76001"/>
    <n v="45643200"/>
    <n v="2771167.67"/>
    <n v="1802724"/>
    <n v="1002984.2599999999"/>
    <n v="39508.699999999997"/>
    <n v="131258.73000000001"/>
    <n v="0"/>
    <n v="0"/>
    <n v="24712.6"/>
    <n v="50193.89"/>
    <n v="0"/>
    <n v="0"/>
    <n v="0"/>
    <n v="0"/>
    <n v="0"/>
    <n v="0"/>
    <n v="0"/>
    <n v="0"/>
    <n v="105121"/>
    <n v="337540.86"/>
    <n v="2954814"/>
  </r>
  <r>
    <n v="60005010"/>
    <x v="10"/>
    <s v="WCU"/>
    <n v="4572034.8499999996"/>
    <n v="4266534.0599999996"/>
    <n v="362136767052.79999"/>
    <n v="47401358"/>
    <n v="3049797"/>
    <n v="1944331"/>
    <n v="1089996.55"/>
    <n v="23359.3"/>
    <n v="82008.009999999995"/>
    <n v="1000"/>
    <n v="0"/>
    <n v="28160.5"/>
    <n v="44732.5"/>
    <n v="0"/>
    <n v="0"/>
    <n v="0"/>
    <n v="0"/>
    <n v="0"/>
    <n v="0"/>
    <n v="0"/>
    <n v="0"/>
    <n v="97328.26"/>
    <n v="305500.78999999998"/>
    <n v="3105538"/>
  </r>
  <r>
    <n v="60005010"/>
    <x v="11"/>
    <s v="WCU"/>
    <n v="4912534.5200000005"/>
    <n v="4585394.4400000004"/>
    <n v="369976271864.32001"/>
    <n v="47990400"/>
    <n v="3120686.79"/>
    <n v="1860120"/>
    <n v="1122036.0999999999"/>
    <n v="19742.2"/>
    <n v="67481.66"/>
    <n v="98018"/>
    <n v="209611.49"/>
    <n v="30668.2"/>
    <n v="65578.399999999994"/>
    <n v="0"/>
    <n v="0"/>
    <n v="0"/>
    <n v="0"/>
    <n v="0"/>
    <n v="0"/>
    <n v="0"/>
    <n v="0"/>
    <n v="96316"/>
    <n v="327140.08"/>
    <n v="3103210"/>
  </r>
  <r>
    <n v="60005010"/>
    <x v="12"/>
    <s v="WCU"/>
    <n v="4682160.3499999996"/>
    <n v="4313343.12"/>
    <n v="366610986360.44"/>
    <n v="47137200"/>
    <n v="3065919.4"/>
    <n v="1947381"/>
    <n v="1041140.14"/>
    <n v="22408"/>
    <n v="57203.78"/>
    <n v="40000"/>
    <n v="114116"/>
    <n v="21226.9"/>
    <n v="34963.800000000003"/>
    <n v="0"/>
    <n v="0"/>
    <n v="0"/>
    <n v="0"/>
    <n v="0"/>
    <n v="0"/>
    <n v="0"/>
    <n v="0"/>
    <n v="97492.42"/>
    <n v="368817.23"/>
    <n v="3103210"/>
  </r>
  <r>
    <n v="60005010"/>
    <x v="13"/>
    <s v="WCU"/>
    <n v="4099822.96"/>
    <n v="3746077.6999999997"/>
    <n v="323352419167.20001"/>
    <n v="43591985"/>
    <n v="2865185.25"/>
    <n v="1691124"/>
    <n v="821873.46"/>
    <n v="21043"/>
    <n v="31042.21"/>
    <n v="2000"/>
    <n v="5400"/>
    <n v="24947"/>
    <n v="22576.78"/>
    <n v="0"/>
    <n v="0"/>
    <n v="0"/>
    <n v="0"/>
    <n v="0"/>
    <n v="0"/>
    <n v="0"/>
    <n v="0"/>
    <n v="97969.89"/>
    <n v="353745.26000000007"/>
    <n v="3103210"/>
  </r>
  <r>
    <n v="60005010"/>
    <x v="14"/>
    <s v="WCU"/>
    <n v="3991779.9400000004"/>
    <n v="3582727.68"/>
    <n v="320246406101.59998"/>
    <n v="43523802"/>
    <n v="2762869.71"/>
    <n v="1678027"/>
    <n v="764069.27"/>
    <n v="23841"/>
    <n v="46437.99"/>
    <n v="2000"/>
    <n v="5400"/>
    <n v="3651"/>
    <n v="3950.71"/>
    <n v="0"/>
    <n v="0"/>
    <n v="0"/>
    <n v="0"/>
    <n v="0"/>
    <n v="0"/>
    <n v="0"/>
    <n v="0"/>
    <n v="105461"/>
    <n v="409052.26"/>
    <n v="3223781"/>
  </r>
  <r>
    <n v="60005010"/>
    <x v="15"/>
    <s v="WC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005010"/>
    <x v="16"/>
    <s v="WC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005010"/>
    <x v="17"/>
    <s v="WC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005010"/>
    <x v="18"/>
    <s v="WC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005010"/>
    <x v="19"/>
    <s v="WC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005010"/>
    <x v="20"/>
    <s v="WC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005010"/>
    <x v="21"/>
    <s v="WC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60005010"/>
    <x v="22"/>
    <s v="WCU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6:G60" firstHeaderRow="0" firstDataRow="1" firstDataCol="1"/>
  <pivotFields count="27">
    <pivotField showAll="0"/>
    <pivotField axis="axisRow" showAll="0">
      <items count="24">
        <item x="0"/>
        <item x="1"/>
        <item x="2"/>
        <item x="4"/>
        <item x="5"/>
        <item x="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numFmtId="164" showAll="0"/>
    <pivotField numFmtId="164" showAll="0"/>
    <pivotField numFmtId="3" showAll="0"/>
    <pivotField numFmtId="3" showAll="0"/>
    <pivotField dataField="1" numFmtId="164" showAll="0"/>
    <pivotField showAll="0"/>
    <pivotField dataField="1" numFmtId="164" showAll="0"/>
    <pivotField numFmtId="3" showAll="0"/>
    <pivotField dataField="1" numFmtId="164" showAll="0"/>
    <pivotField numFmtId="3" showAll="0"/>
    <pivotField dataField="1" numFmtId="164" showAll="0"/>
    <pivotField showAll="0"/>
    <pivotField dataField="1" showAll="0"/>
    <pivotField numFmtId="3" showAll="0"/>
    <pivotField numFmtId="164" showAll="0"/>
    <pivotField numFmtId="3" showAll="0"/>
    <pivotField numFmtId="164" showAll="0"/>
    <pivotField numFmtId="3" showAll="0"/>
    <pivotField numFmtId="164" showAll="0"/>
    <pivotField numFmtId="3" showAll="0"/>
    <pivotField numFmtId="164" showAll="0"/>
    <pivotField numFmtId="3" showAll="0"/>
    <pivotField dataField="1" numFmtId="164" showAll="0"/>
    <pivotField numFmtId="3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kwh $" fld="7" baseField="0" baseItem="0"/>
    <dataField name="Sum of ng $" fld="9" baseField="0" baseItem="0"/>
    <dataField name="Sum of 2oil $" fld="11" baseField="0" baseItem="0"/>
    <dataField name="Sum of 6oil $" fld="13" baseField="0" baseItem="0"/>
    <dataField name="Sum of propane $" fld="15" baseField="0" baseItem="0"/>
    <dataField name="Sum of water sewer $" fld="25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27" firstHeaderRow="0" firstDataRow="1" firstDataCol="1"/>
  <pivotFields count="27">
    <pivotField showAll="0"/>
    <pivotField axis="axisRow" showAll="0">
      <items count="24">
        <item x="0"/>
        <item x="1"/>
        <item x="2"/>
        <item x="4"/>
        <item x="5"/>
        <item x="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numFmtId="164" showAll="0"/>
    <pivotField numFmtId="164" showAll="0"/>
    <pivotField numFmtId="3" showAll="0"/>
    <pivotField dataField="1" numFmtId="3" showAll="0"/>
    <pivotField numFmtId="164" showAll="0"/>
    <pivotField dataField="1" showAll="0"/>
    <pivotField numFmtId="164" showAll="0"/>
    <pivotField dataField="1" numFmtId="3" showAll="0"/>
    <pivotField numFmtId="164" showAll="0"/>
    <pivotField dataField="1" numFmtId="3" showAll="0"/>
    <pivotField numFmtId="164" showAll="0"/>
    <pivotField dataField="1" showAll="0"/>
    <pivotField showAll="0"/>
    <pivotField numFmtId="3" showAll="0"/>
    <pivotField numFmtId="164" showAll="0"/>
    <pivotField numFmtId="3" showAll="0"/>
    <pivotField numFmtId="164" showAll="0"/>
    <pivotField numFmtId="3" showAll="0"/>
    <pivotField numFmtId="164" showAll="0"/>
    <pivotField numFmtId="3" showAll="0"/>
    <pivotField numFmtId="164" showAll="0"/>
    <pivotField numFmtId="3" showAll="0"/>
    <pivotField numFmtId="164" showAll="0"/>
    <pivotField numFmtId="3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kwh" fld="6" baseField="0" baseItem="0"/>
    <dataField name="Sum of ng therms" fld="8" baseField="0" baseItem="0"/>
    <dataField name="Sum of 2oil gals" fld="10" baseField="0" baseItem="0"/>
    <dataField name="Sum of 6 oil gals" fld="12" baseField="0" baseItem="0"/>
    <dataField name="Sum of propane gals" fld="14" baseField="0" baseItem="0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5" indent="0" outline="1" outlineData="1" multipleFieldFilters="0">
  <location ref="A3:C26" firstHeaderRow="0" firstDataRow="1" firstDataCol="1"/>
  <pivotFields count="4">
    <pivotField axis="axisRow" showAll="0">
      <items count="24">
        <item x="0"/>
        <item x="1"/>
        <item x="2"/>
        <item x="4"/>
        <item x="5"/>
        <item x="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dataField="1" numFmtId="169" showAll="0"/>
    <pivotField dataField="1" numFmtId="170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rowItems>
  <colFields count="1">
    <field x="-2"/>
  </colFields>
  <colItems count="2">
    <i>
      <x/>
    </i>
    <i i="1">
      <x v="1"/>
    </i>
  </colItems>
  <dataFields count="2">
    <dataField name="Sum of $/kwh" fld="2" baseField="0" baseItem="0"/>
    <dataField name="Sum of $/therm" fld="3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theme="0"/>
    <pageSetUpPr fitToPage="1"/>
  </sheetPr>
  <dimension ref="A1:BM176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C19" sqref="BC19"/>
    </sheetView>
  </sheetViews>
  <sheetFormatPr defaultRowHeight="12.75" x14ac:dyDescent="0.2"/>
  <cols>
    <col min="1" max="1" width="8.28515625" style="44" customWidth="1"/>
    <col min="2" max="2" width="9.42578125" style="44" customWidth="1"/>
    <col min="3" max="3" width="4.7109375" bestFit="1" customWidth="1"/>
    <col min="4" max="4" width="10.42578125" customWidth="1"/>
    <col min="5" max="5" width="11" customWidth="1"/>
    <col min="6" max="6" width="14" bestFit="1" customWidth="1"/>
    <col min="7" max="7" width="11.28515625" customWidth="1"/>
    <col min="8" max="8" width="9.5703125" bestFit="1" customWidth="1"/>
    <col min="9" max="9" width="8.7109375" bestFit="1" customWidth="1"/>
    <col min="10" max="10" width="9" customWidth="1"/>
    <col min="11" max="11" width="8.85546875" bestFit="1" customWidth="1"/>
    <col min="12" max="12" width="8.7109375" customWidth="1"/>
    <col min="13" max="13" width="8" bestFit="1" customWidth="1"/>
    <col min="14" max="14" width="8.7109375" bestFit="1" customWidth="1"/>
    <col min="15" max="15" width="7.85546875" bestFit="1" customWidth="1"/>
    <col min="16" max="16" width="8.7109375" bestFit="1" customWidth="1"/>
    <col min="17" max="17" width="5.5703125" customWidth="1"/>
    <col min="18" max="18" width="5.7109375" customWidth="1"/>
    <col min="19" max="19" width="5.85546875" customWidth="1"/>
    <col min="20" max="24" width="6.140625" customWidth="1"/>
    <col min="25" max="25" width="8.7109375" bestFit="1" customWidth="1"/>
    <col min="26" max="26" width="9.5703125" bestFit="1" customWidth="1"/>
    <col min="27" max="27" width="9" customWidth="1"/>
    <col min="28" max="28" width="9.5703125" bestFit="1" customWidth="1"/>
    <col min="29" max="29" width="9.28515625" bestFit="1" customWidth="1"/>
    <col min="30" max="30" width="10.140625" customWidth="1"/>
    <col min="31" max="31" width="9.140625" customWidth="1"/>
    <col min="32" max="32" width="12.5703125" customWidth="1"/>
    <col min="33" max="33" width="9.5703125" bestFit="1" customWidth="1"/>
    <col min="34" max="34" width="9.5703125" customWidth="1"/>
    <col min="35" max="35" width="9.140625" style="56"/>
    <col min="36" max="36" width="9.140625" style="68"/>
    <col min="37" max="37" width="9.140625" style="56"/>
    <col min="38" max="38" width="9.140625" style="68"/>
    <col min="39" max="39" width="9.140625" style="56"/>
    <col min="40" max="40" width="9.140625" style="68"/>
    <col min="41" max="41" width="14.28515625" style="56" customWidth="1"/>
    <col min="42" max="42" width="9.140625" style="68"/>
    <col min="43" max="43" width="9.140625" style="56"/>
    <col min="44" max="44" width="4.140625" style="56" customWidth="1"/>
    <col min="45" max="45" width="9.5703125" style="56" bestFit="1" customWidth="1"/>
    <col min="46" max="46" width="19.7109375" style="56" customWidth="1"/>
    <col min="47" max="47" width="6.28515625" style="56" customWidth="1"/>
    <col min="48" max="48" width="19.42578125" style="56" customWidth="1"/>
    <col min="49" max="49" width="9.140625" style="56"/>
    <col min="50" max="50" width="14.28515625" style="56" customWidth="1"/>
    <col min="52" max="52" width="9.5703125" bestFit="1" customWidth="1"/>
    <col min="53" max="53" width="10.7109375" style="44" bestFit="1" customWidth="1"/>
    <col min="60" max="60" width="12.5703125" bestFit="1" customWidth="1"/>
    <col min="63" max="63" width="10.85546875" bestFit="1" customWidth="1"/>
    <col min="64" max="64" width="9.140625" style="56"/>
  </cols>
  <sheetData>
    <row r="1" spans="1:64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3" t="s">
        <v>16</v>
      </c>
      <c r="R1" s="1" t="s">
        <v>17</v>
      </c>
      <c r="S1" s="3" t="s">
        <v>18</v>
      </c>
      <c r="T1" s="1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1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I1" s="50" t="s">
        <v>84</v>
      </c>
      <c r="AJ1" s="52" t="s">
        <v>87</v>
      </c>
      <c r="AK1" s="50" t="s">
        <v>82</v>
      </c>
      <c r="AL1" s="52" t="s">
        <v>87</v>
      </c>
      <c r="AM1" s="50" t="s">
        <v>83</v>
      </c>
      <c r="AN1" s="52" t="s">
        <v>87</v>
      </c>
      <c r="AO1" s="53" t="s">
        <v>86</v>
      </c>
      <c r="AP1" s="53" t="s">
        <v>87</v>
      </c>
      <c r="AQ1" s="54" t="s">
        <v>85</v>
      </c>
      <c r="AS1" s="71" t="s">
        <v>81</v>
      </c>
      <c r="AT1" s="71" t="s">
        <v>89</v>
      </c>
      <c r="AU1" s="71" t="s">
        <v>90</v>
      </c>
      <c r="AV1" s="50" t="s">
        <v>88</v>
      </c>
      <c r="AZ1" s="95" t="s">
        <v>127</v>
      </c>
      <c r="BA1" s="95" t="s">
        <v>128</v>
      </c>
      <c r="BB1" s="95" t="s">
        <v>90</v>
      </c>
      <c r="BC1" s="97"/>
      <c r="BD1" s="98" t="s">
        <v>121</v>
      </c>
      <c r="BE1" s="99" t="s">
        <v>130</v>
      </c>
      <c r="BF1" s="99" t="s">
        <v>131</v>
      </c>
      <c r="BG1" s="99" t="s">
        <v>129</v>
      </c>
      <c r="BH1" s="99" t="s">
        <v>132</v>
      </c>
      <c r="BI1" s="99" t="s">
        <v>133</v>
      </c>
      <c r="BJ1" s="99" t="s">
        <v>134</v>
      </c>
      <c r="BK1" s="99" t="s">
        <v>137</v>
      </c>
      <c r="BL1" s="100" t="s">
        <v>138</v>
      </c>
    </row>
    <row r="2" spans="1:64" s="14" customFormat="1" ht="11.25" customHeight="1" x14ac:dyDescent="0.2">
      <c r="A2" s="4">
        <v>60005010</v>
      </c>
      <c r="B2" s="5" t="s">
        <v>32</v>
      </c>
      <c r="C2" s="6" t="s">
        <v>79</v>
      </c>
      <c r="D2" s="7">
        <f>E2+Z2</f>
        <v>3075813.4199999995</v>
      </c>
      <c r="E2" s="7">
        <f>H2+J2+L2+N2+P2+R2+T2+V2+X2</f>
        <v>2676319.4199999995</v>
      </c>
      <c r="F2" s="8">
        <f>((G2*3412)+(I2*100000)+(K2*138690)+(M2*149690)+(O2*91647.6)+(Q2*25090000)+(S2*15380000)+((U2*AD2)*1194000)+((W2*AE2)*3412))-AF2</f>
        <v>420668044837.59998</v>
      </c>
      <c r="G2" s="9">
        <v>34665600</v>
      </c>
      <c r="H2" s="7">
        <v>1604515</v>
      </c>
      <c r="I2" s="9">
        <v>1444810</v>
      </c>
      <c r="J2" s="7">
        <v>111053</v>
      </c>
      <c r="K2" s="9">
        <v>47971</v>
      </c>
      <c r="L2" s="7">
        <v>51114.39</v>
      </c>
      <c r="M2" s="9">
        <v>996969</v>
      </c>
      <c r="N2" s="7">
        <v>888599</v>
      </c>
      <c r="O2" s="9">
        <v>22026</v>
      </c>
      <c r="P2" s="10">
        <v>21038.03</v>
      </c>
      <c r="Q2" s="9">
        <v>0</v>
      </c>
      <c r="R2" s="7">
        <v>0</v>
      </c>
      <c r="S2" s="9">
        <v>0</v>
      </c>
      <c r="T2" s="7">
        <v>0</v>
      </c>
      <c r="U2" s="9">
        <v>0</v>
      </c>
      <c r="V2" s="7">
        <v>0</v>
      </c>
      <c r="W2" s="9">
        <v>0</v>
      </c>
      <c r="X2" s="7">
        <v>0</v>
      </c>
      <c r="Y2" s="9">
        <v>122056</v>
      </c>
      <c r="Z2" s="7">
        <v>399494</v>
      </c>
      <c r="AA2" s="9">
        <v>2355330</v>
      </c>
      <c r="AB2" s="9">
        <v>0</v>
      </c>
      <c r="AC2" s="11">
        <v>0</v>
      </c>
      <c r="AD2" s="12">
        <v>1</v>
      </c>
      <c r="AE2" s="12">
        <v>1</v>
      </c>
      <c r="AF2" s="13">
        <v>0</v>
      </c>
      <c r="AI2" s="57">
        <f t="shared" ref="AI2:AI15" si="0">G2*3412/1000000</f>
        <v>118279.0272</v>
      </c>
      <c r="AJ2" s="70">
        <f>AI2/AQ2</f>
        <v>0.28116950800401758</v>
      </c>
      <c r="AK2" s="55">
        <f t="shared" ref="AK2:AK10" si="1">I2*101000/1000000</f>
        <v>145925.81</v>
      </c>
      <c r="AL2" s="70">
        <f>AK2/AQ2</f>
        <v>0.34689064641535833</v>
      </c>
      <c r="AM2" s="58">
        <f t="shared" ref="AM2:AM15" si="2">M2*149690/1000000</f>
        <v>149236.28961000001</v>
      </c>
      <c r="AN2" s="70">
        <f>AM2/AQ2</f>
        <v>0.35476022350975833</v>
      </c>
      <c r="AO2" s="59">
        <f>AI2+AK2+AM2</f>
        <v>413441.12681000005</v>
      </c>
      <c r="AP2" s="70">
        <f t="shared" ref="AP2:AP15" si="3">AO2/AQ2</f>
        <v>0.98282037792913435</v>
      </c>
      <c r="AQ2" s="59">
        <f t="shared" ref="AQ2:AQ14" si="4">F2/1000000</f>
        <v>420668.04483759997</v>
      </c>
      <c r="AS2" s="60"/>
      <c r="AT2" s="60"/>
      <c r="AU2" s="60"/>
      <c r="AV2" s="60"/>
      <c r="AW2" s="60"/>
      <c r="AX2" s="60"/>
      <c r="BA2" s="4"/>
      <c r="BD2" s="101" t="s">
        <v>32</v>
      </c>
      <c r="BE2" s="102">
        <f>D2</f>
        <v>3075813.4199999995</v>
      </c>
      <c r="BF2" s="103">
        <f>AA2</f>
        <v>2355330</v>
      </c>
      <c r="BG2" s="104">
        <f>BE2/BF2</f>
        <v>1.3058948937091615</v>
      </c>
      <c r="BH2" s="103">
        <f>F2/1000000</f>
        <v>420668.04483759997</v>
      </c>
      <c r="BI2" s="104">
        <f>E2/BH2</f>
        <v>6.3620696956746494</v>
      </c>
      <c r="BJ2" s="105">
        <v>0</v>
      </c>
      <c r="BK2" s="103">
        <f>BH2/BF2*1000000</f>
        <v>178602.59277366652</v>
      </c>
      <c r="BL2" s="106">
        <v>0</v>
      </c>
    </row>
    <row r="3" spans="1:64" s="14" customFormat="1" ht="11.25" x14ac:dyDescent="0.2">
      <c r="A3" s="4">
        <v>60005010</v>
      </c>
      <c r="B3" s="15" t="s">
        <v>34</v>
      </c>
      <c r="C3" s="6" t="s">
        <v>79</v>
      </c>
      <c r="D3" s="7">
        <f t="shared" ref="D3:D24" si="5">E3+Z3</f>
        <v>3300828.37</v>
      </c>
      <c r="E3" s="7">
        <f t="shared" ref="E3:E24" si="6">H3+J3+L3+N3+P3+R3+T3+V3+X3</f>
        <v>2956822.37</v>
      </c>
      <c r="F3" s="9">
        <f t="shared" ref="F3:F24" si="7">((G3*3412)+(I3*100000)+(K3*138690)+(M3*149690)+(O3*91647.6)+(Q3*25090000)+(S3*15380000)+((U3*AD3)*1194000)+((W3*AE3)*3412))-AF3</f>
        <v>321653042632</v>
      </c>
      <c r="G3" s="9">
        <v>37039200</v>
      </c>
      <c r="H3" s="7">
        <v>1747534</v>
      </c>
      <c r="I3" s="9">
        <v>1606150</v>
      </c>
      <c r="J3" s="7">
        <v>975042.48</v>
      </c>
      <c r="K3" s="9">
        <v>45498</v>
      </c>
      <c r="L3" s="7">
        <v>52605.89</v>
      </c>
      <c r="M3" s="9">
        <v>171870</v>
      </c>
      <c r="N3" s="7">
        <v>153188</v>
      </c>
      <c r="O3" s="9">
        <v>28620</v>
      </c>
      <c r="P3" s="10">
        <v>28452</v>
      </c>
      <c r="Q3" s="9">
        <v>0</v>
      </c>
      <c r="R3" s="7">
        <v>0</v>
      </c>
      <c r="S3" s="9">
        <v>0</v>
      </c>
      <c r="T3" s="7">
        <v>0</v>
      </c>
      <c r="U3" s="9">
        <v>0</v>
      </c>
      <c r="V3" s="7">
        <v>0</v>
      </c>
      <c r="W3" s="9">
        <v>0</v>
      </c>
      <c r="X3" s="7">
        <v>0</v>
      </c>
      <c r="Y3" s="9">
        <v>115711</v>
      </c>
      <c r="Z3" s="7">
        <v>344006</v>
      </c>
      <c r="AA3" s="9">
        <v>2355330</v>
      </c>
      <c r="AB3" s="9">
        <v>0</v>
      </c>
      <c r="AC3" s="11">
        <v>0</v>
      </c>
      <c r="AD3" s="12">
        <v>1</v>
      </c>
      <c r="AE3" s="12">
        <v>1</v>
      </c>
      <c r="AF3" s="13">
        <v>0</v>
      </c>
      <c r="AG3" s="6"/>
      <c r="AI3" s="57">
        <f t="shared" si="0"/>
        <v>126377.7504</v>
      </c>
      <c r="AJ3" s="70">
        <f t="shared" ref="AJ3:AJ15" si="8">AI3/AQ3</f>
        <v>0.39290083925799363</v>
      </c>
      <c r="AK3" s="55">
        <f t="shared" si="1"/>
        <v>162221.15</v>
      </c>
      <c r="AL3" s="70">
        <f t="shared" ref="AL3:AL15" si="9">AK3/AQ3</f>
        <v>0.50433581685591444</v>
      </c>
      <c r="AM3" s="58">
        <f t="shared" si="2"/>
        <v>25727.220300000001</v>
      </c>
      <c r="AN3" s="70">
        <f t="shared" ref="AN3:AN15" si="10">AM3/AQ3</f>
        <v>7.998438345081739E-2</v>
      </c>
      <c r="AO3" s="59">
        <f t="shared" ref="AO3:AO15" si="11">AI3+AK3+AM3</f>
        <v>314326.12069999997</v>
      </c>
      <c r="AP3" s="70">
        <f t="shared" si="3"/>
        <v>0.97722103956472539</v>
      </c>
      <c r="AQ3" s="59">
        <f t="shared" si="4"/>
        <v>321653.042632</v>
      </c>
      <c r="AS3" s="61"/>
      <c r="AT3" s="61"/>
      <c r="AU3" s="61"/>
      <c r="AV3" s="61"/>
      <c r="AW3" s="61"/>
      <c r="AX3" s="61"/>
      <c r="BA3" s="4"/>
      <c r="BB3" s="6"/>
      <c r="BC3" s="6"/>
      <c r="BD3" s="107" t="s">
        <v>34</v>
      </c>
      <c r="BE3" s="108">
        <f t="shared" ref="BE3:BE15" si="12">D3</f>
        <v>3300828.37</v>
      </c>
      <c r="BF3" s="109">
        <f t="shared" ref="BF3:BF15" si="13">AA3</f>
        <v>2355330</v>
      </c>
      <c r="BG3" s="110">
        <f t="shared" ref="BG3:BG15" si="14">BE3/BF3</f>
        <v>1.4014292561976454</v>
      </c>
      <c r="BH3" s="109">
        <f t="shared" ref="BH3:BH15" si="15">F3/1000000</f>
        <v>321653.042632</v>
      </c>
      <c r="BI3" s="111">
        <f t="shared" ref="BI3:BI15" si="16">E3/BH3</f>
        <v>9.1925832437496044</v>
      </c>
      <c r="BJ3" s="112">
        <f t="shared" ref="BJ3:BJ15" si="17">(BH3-$BH$2)/$BH$2</f>
        <v>-0.23537562080291832</v>
      </c>
      <c r="BK3" s="113">
        <f t="shared" ref="BK3:BK15" si="18">BH3/BF3*1000000</f>
        <v>136563.89662255393</v>
      </c>
      <c r="BL3" s="114">
        <f>((BH3/BF3)-($BH$2/$BF$2))/($BH$2/$BF$2)</f>
        <v>-0.23537562080291838</v>
      </c>
    </row>
    <row r="4" spans="1:64" s="6" customFormat="1" ht="11.25" x14ac:dyDescent="0.2">
      <c r="A4" s="22">
        <v>60005010</v>
      </c>
      <c r="B4" s="15" t="s">
        <v>35</v>
      </c>
      <c r="C4" s="6" t="s">
        <v>79</v>
      </c>
      <c r="D4" s="7">
        <f t="shared" si="5"/>
        <v>3798839.76</v>
      </c>
      <c r="E4" s="7">
        <f t="shared" si="6"/>
        <v>3408429.76</v>
      </c>
      <c r="F4" s="9">
        <f t="shared" si="7"/>
        <v>355204015794.79999</v>
      </c>
      <c r="G4" s="9">
        <v>41841570</v>
      </c>
      <c r="H4" s="7">
        <v>2013292</v>
      </c>
      <c r="I4" s="9">
        <v>1444806</v>
      </c>
      <c r="J4" s="7">
        <v>930263.64</v>
      </c>
      <c r="K4" s="9">
        <v>55712</v>
      </c>
      <c r="L4" s="7">
        <v>82939.03</v>
      </c>
      <c r="M4" s="9">
        <v>389041</v>
      </c>
      <c r="N4" s="7">
        <v>360080.42</v>
      </c>
      <c r="O4" s="9">
        <v>21798</v>
      </c>
      <c r="P4" s="10">
        <v>21854.67</v>
      </c>
      <c r="Q4" s="9">
        <v>0</v>
      </c>
      <c r="R4" s="7">
        <v>0</v>
      </c>
      <c r="S4" s="9">
        <v>0</v>
      </c>
      <c r="T4" s="7">
        <v>0</v>
      </c>
      <c r="U4" s="9">
        <v>0</v>
      </c>
      <c r="V4" s="7">
        <v>0</v>
      </c>
      <c r="W4" s="9">
        <v>0</v>
      </c>
      <c r="X4" s="7">
        <v>0</v>
      </c>
      <c r="Y4" s="9">
        <v>130967</v>
      </c>
      <c r="Z4" s="7">
        <v>390410</v>
      </c>
      <c r="AA4" s="9">
        <v>2734121</v>
      </c>
      <c r="AB4" s="9">
        <v>85586</v>
      </c>
      <c r="AC4" s="9">
        <v>0</v>
      </c>
      <c r="AD4" s="12">
        <v>1</v>
      </c>
      <c r="AE4" s="12">
        <v>1</v>
      </c>
      <c r="AF4" s="13">
        <v>0</v>
      </c>
      <c r="AI4" s="57">
        <f t="shared" si="0"/>
        <v>142763.43684000001</v>
      </c>
      <c r="AJ4" s="70">
        <f t="shared" si="8"/>
        <v>0.4019195462093928</v>
      </c>
      <c r="AK4" s="55">
        <f t="shared" si="1"/>
        <v>145925.40599999999</v>
      </c>
      <c r="AL4" s="70">
        <f t="shared" si="9"/>
        <v>0.4108213857703133</v>
      </c>
      <c r="AM4" s="58">
        <f t="shared" si="2"/>
        <v>58235.547290000002</v>
      </c>
      <c r="AN4" s="70">
        <f t="shared" si="10"/>
        <v>0.16394957461191106</v>
      </c>
      <c r="AO4" s="59">
        <f t="shared" si="11"/>
        <v>346924.39013000001</v>
      </c>
      <c r="AP4" s="70">
        <f t="shared" si="3"/>
        <v>0.97669050659161716</v>
      </c>
      <c r="AQ4" s="59">
        <f t="shared" si="4"/>
        <v>355204.01579480001</v>
      </c>
      <c r="AS4" s="61"/>
      <c r="AT4" s="61"/>
      <c r="AU4" s="61"/>
      <c r="AV4" s="61"/>
      <c r="AW4" s="61"/>
      <c r="AX4" s="61"/>
      <c r="BA4" s="22"/>
      <c r="BD4" s="107" t="s">
        <v>35</v>
      </c>
      <c r="BE4" s="108">
        <f t="shared" si="12"/>
        <v>3798839.76</v>
      </c>
      <c r="BF4" s="113">
        <f t="shared" si="13"/>
        <v>2734121</v>
      </c>
      <c r="BG4" s="111">
        <f t="shared" si="14"/>
        <v>1.3894190344904267</v>
      </c>
      <c r="BH4" s="113">
        <f t="shared" si="15"/>
        <v>355204.01579480001</v>
      </c>
      <c r="BI4" s="111">
        <f t="shared" si="16"/>
        <v>9.5956960181695603</v>
      </c>
      <c r="BJ4" s="112">
        <f t="shared" si="17"/>
        <v>-0.15561921055370992</v>
      </c>
      <c r="BK4" s="113">
        <f t="shared" si="18"/>
        <v>129915.25093249348</v>
      </c>
      <c r="BL4" s="114">
        <f t="shared" ref="BL4:BL15" si="19">((BH4/BF4)-($BH$2/$BF$2))/($BH$2/$BF$2)</f>
        <v>-0.27260154001723758</v>
      </c>
    </row>
    <row r="5" spans="1:64" s="6" customFormat="1" ht="11.25" x14ac:dyDescent="0.2">
      <c r="A5" s="22">
        <v>60005010</v>
      </c>
      <c r="B5" s="15" t="s">
        <v>36</v>
      </c>
      <c r="C5" s="6" t="s">
        <v>79</v>
      </c>
      <c r="D5" s="7">
        <f t="shared" si="5"/>
        <v>4385079</v>
      </c>
      <c r="E5" s="7">
        <f t="shared" si="6"/>
        <v>4062767</v>
      </c>
      <c r="F5" s="9">
        <f t="shared" si="7"/>
        <v>317232788601.20001</v>
      </c>
      <c r="G5" s="9">
        <v>43963200</v>
      </c>
      <c r="H5" s="7">
        <v>2228582</v>
      </c>
      <c r="I5" s="9">
        <v>448967</v>
      </c>
      <c r="J5" s="7">
        <v>720873</v>
      </c>
      <c r="K5" s="9">
        <v>33921</v>
      </c>
      <c r="L5" s="7">
        <v>64917</v>
      </c>
      <c r="M5" s="9">
        <v>770367</v>
      </c>
      <c r="N5" s="7">
        <v>1016520</v>
      </c>
      <c r="O5" s="9">
        <v>25237</v>
      </c>
      <c r="P5" s="10">
        <v>31875</v>
      </c>
      <c r="Q5" s="9">
        <v>0</v>
      </c>
      <c r="R5" s="7">
        <v>0</v>
      </c>
      <c r="S5" s="9">
        <v>0</v>
      </c>
      <c r="T5" s="7">
        <v>0</v>
      </c>
      <c r="U5" s="9">
        <v>0</v>
      </c>
      <c r="V5" s="7">
        <v>0</v>
      </c>
      <c r="W5" s="9">
        <v>0</v>
      </c>
      <c r="X5" s="7">
        <v>0</v>
      </c>
      <c r="Y5" s="9">
        <v>119712</v>
      </c>
      <c r="Z5" s="7">
        <v>322312</v>
      </c>
      <c r="AA5" s="9">
        <v>2734121</v>
      </c>
      <c r="AB5" s="9">
        <v>14655</v>
      </c>
      <c r="AC5" s="9">
        <v>0</v>
      </c>
      <c r="AD5" s="12">
        <v>1</v>
      </c>
      <c r="AE5" s="12">
        <v>1</v>
      </c>
      <c r="AF5" s="13">
        <v>0</v>
      </c>
      <c r="AI5" s="57">
        <f t="shared" si="0"/>
        <v>150002.43840000001</v>
      </c>
      <c r="AJ5" s="70">
        <f t="shared" si="8"/>
        <v>0.47284657762338433</v>
      </c>
      <c r="AK5" s="55">
        <f t="shared" si="1"/>
        <v>45345.667000000001</v>
      </c>
      <c r="AL5" s="70">
        <f t="shared" si="9"/>
        <v>0.14294129935290198</v>
      </c>
      <c r="AM5" s="58">
        <f t="shared" si="2"/>
        <v>115316.23622999999</v>
      </c>
      <c r="AN5" s="70">
        <f t="shared" si="10"/>
        <v>0.36350667514059037</v>
      </c>
      <c r="AO5" s="59">
        <f t="shared" si="11"/>
        <v>310664.34162999998</v>
      </c>
      <c r="AP5" s="70">
        <f t="shared" si="3"/>
        <v>0.97929455211687655</v>
      </c>
      <c r="AQ5" s="59">
        <f t="shared" si="4"/>
        <v>317232.78860120004</v>
      </c>
      <c r="AS5" s="61"/>
      <c r="AT5" s="61"/>
      <c r="AU5" s="61"/>
      <c r="AV5" s="61"/>
      <c r="AW5" s="61"/>
      <c r="AX5" s="61"/>
      <c r="BA5" s="22"/>
      <c r="BD5" s="107" t="s">
        <v>36</v>
      </c>
      <c r="BE5" s="108">
        <f t="shared" si="12"/>
        <v>4385079</v>
      </c>
      <c r="BF5" s="113">
        <f t="shared" si="13"/>
        <v>2734121</v>
      </c>
      <c r="BG5" s="111">
        <f t="shared" si="14"/>
        <v>1.6038350168116189</v>
      </c>
      <c r="BH5" s="113">
        <f t="shared" si="15"/>
        <v>317232.78860120004</v>
      </c>
      <c r="BI5" s="111">
        <f t="shared" si="16"/>
        <v>12.806894955323768</v>
      </c>
      <c r="BJ5" s="112">
        <f t="shared" si="17"/>
        <v>-0.24588332179196398</v>
      </c>
      <c r="BK5" s="113">
        <f t="shared" si="18"/>
        <v>116027.34063386369</v>
      </c>
      <c r="BL5" s="114">
        <f t="shared" si="19"/>
        <v>-0.35036026727283343</v>
      </c>
    </row>
    <row r="6" spans="1:64" s="14" customFormat="1" ht="11.25" x14ac:dyDescent="0.2">
      <c r="A6" s="4">
        <v>60005010</v>
      </c>
      <c r="B6" s="15" t="s">
        <v>37</v>
      </c>
      <c r="C6" s="6" t="s">
        <v>79</v>
      </c>
      <c r="D6" s="7">
        <f t="shared" si="5"/>
        <v>4404131.2700000005</v>
      </c>
      <c r="E6" s="7">
        <f t="shared" si="6"/>
        <v>4079619.1300000004</v>
      </c>
      <c r="F6" s="9">
        <f t="shared" si="7"/>
        <v>349747452419.59998</v>
      </c>
      <c r="G6" s="9">
        <v>42259200</v>
      </c>
      <c r="H6" s="7">
        <v>2324088.12</v>
      </c>
      <c r="I6" s="9">
        <v>1764777</v>
      </c>
      <c r="J6" s="7">
        <v>1447793.77</v>
      </c>
      <c r="K6" s="9">
        <v>32634</v>
      </c>
      <c r="L6" s="7">
        <v>62223.73</v>
      </c>
      <c r="M6" s="9">
        <v>146809</v>
      </c>
      <c r="N6" s="7">
        <v>210092.7</v>
      </c>
      <c r="O6" s="9">
        <v>28146</v>
      </c>
      <c r="P6" s="10">
        <v>35420.81</v>
      </c>
      <c r="Q6" s="9">
        <v>0</v>
      </c>
      <c r="R6" s="7">
        <v>0</v>
      </c>
      <c r="S6" s="9">
        <v>0</v>
      </c>
      <c r="T6" s="7">
        <v>0</v>
      </c>
      <c r="U6" s="9">
        <v>0</v>
      </c>
      <c r="V6" s="7">
        <v>0</v>
      </c>
      <c r="W6" s="9">
        <v>0</v>
      </c>
      <c r="X6" s="7">
        <v>0</v>
      </c>
      <c r="Y6" s="9">
        <v>115745</v>
      </c>
      <c r="Z6" s="7">
        <v>324512.14</v>
      </c>
      <c r="AA6" s="9">
        <v>2843308</v>
      </c>
      <c r="AB6" s="9">
        <v>0</v>
      </c>
      <c r="AC6" s="9">
        <v>0</v>
      </c>
      <c r="AD6" s="12">
        <v>1</v>
      </c>
      <c r="AE6" s="12">
        <v>1</v>
      </c>
      <c r="AF6" s="13">
        <v>0</v>
      </c>
      <c r="AG6" s="6"/>
      <c r="AI6" s="57">
        <f t="shared" si="0"/>
        <v>144188.3904</v>
      </c>
      <c r="AJ6" s="70">
        <f t="shared" si="8"/>
        <v>0.41226430500775718</v>
      </c>
      <c r="AK6" s="55">
        <f t="shared" si="1"/>
        <v>178242.47700000001</v>
      </c>
      <c r="AL6" s="70">
        <f t="shared" si="9"/>
        <v>0.50963195233273195</v>
      </c>
      <c r="AM6" s="58">
        <f t="shared" si="2"/>
        <v>21975.839209999998</v>
      </c>
      <c r="AN6" s="70">
        <f t="shared" si="10"/>
        <v>6.2833450416774114E-2</v>
      </c>
      <c r="AO6" s="59">
        <f t="shared" si="11"/>
        <v>344406.70660999999</v>
      </c>
      <c r="AP6" s="70">
        <f t="shared" si="3"/>
        <v>0.98472970775726321</v>
      </c>
      <c r="AQ6" s="59">
        <f t="shared" si="4"/>
        <v>349747.45241959998</v>
      </c>
      <c r="AS6" s="92" t="s">
        <v>126</v>
      </c>
      <c r="AT6" s="93">
        <f>AVERAGE(AT7:AT15)</f>
        <v>29.095067459093634</v>
      </c>
      <c r="AU6" s="55"/>
      <c r="AV6" s="61"/>
      <c r="AW6" s="61"/>
      <c r="AX6" s="61"/>
      <c r="AZ6" s="92" t="s">
        <v>126</v>
      </c>
      <c r="BA6" s="93">
        <f>AVERAGE(BA7:BA15)</f>
        <v>52.487645101025223</v>
      </c>
      <c r="BB6" s="6"/>
      <c r="BC6" s="6"/>
      <c r="BD6" s="107" t="s">
        <v>37</v>
      </c>
      <c r="BE6" s="108">
        <f t="shared" si="12"/>
        <v>4404131.2700000005</v>
      </c>
      <c r="BF6" s="113">
        <f t="shared" si="13"/>
        <v>2843308</v>
      </c>
      <c r="BG6" s="111">
        <f t="shared" si="14"/>
        <v>1.5489462520416362</v>
      </c>
      <c r="BH6" s="113">
        <f t="shared" si="15"/>
        <v>349747.45241959998</v>
      </c>
      <c r="BI6" s="111">
        <f t="shared" si="16"/>
        <v>11.664471325742749</v>
      </c>
      <c r="BJ6" s="112">
        <f t="shared" si="17"/>
        <v>-0.16859039636675771</v>
      </c>
      <c r="BK6" s="113">
        <f t="shared" si="18"/>
        <v>123007.23397521478</v>
      </c>
      <c r="BL6" s="114">
        <f t="shared" si="19"/>
        <v>-0.31127968488623659</v>
      </c>
    </row>
    <row r="7" spans="1:64" s="14" customFormat="1" ht="11.25" x14ac:dyDescent="0.2">
      <c r="A7" s="4">
        <v>60005010</v>
      </c>
      <c r="B7" s="15" t="s">
        <v>38</v>
      </c>
      <c r="C7" s="6" t="s">
        <v>79</v>
      </c>
      <c r="D7" s="7">
        <f t="shared" si="5"/>
        <v>4878277.7699999996</v>
      </c>
      <c r="E7" s="7">
        <f t="shared" si="6"/>
        <v>4555322.5</v>
      </c>
      <c r="F7" s="9">
        <f t="shared" si="7"/>
        <v>353251451443.49597</v>
      </c>
      <c r="G7" s="9">
        <f>3417600+3888000+3897600+3835200+3388800+2966400+3388800+3422400+3350400+3571200+3196800+3374400</f>
        <v>41697600</v>
      </c>
      <c r="H7" s="7">
        <f>198908.22+227600.23+219702.69+215950.69+191710.75+170241.92+190464.86+193347.71+188950.02+200241.13+181110.81+193678.95</f>
        <v>2371907.98</v>
      </c>
      <c r="I7" s="9">
        <v>2043922</v>
      </c>
      <c r="J7" s="7">
        <f>91795.62+81280.04+98003.5+106484.27+177055.11+172397.41+221119.58+199657.69+206145.54+177191.33+129937.46+110960.12+157864.07+121270.15</f>
        <v>2051161.89</v>
      </c>
      <c r="K7" s="9">
        <f>10.7+1250.1+86.3+515.1+1524+45.7+483+64.5+140.6+48.4+143.8+558.9+405.6+146.4+1900+1258.1+2194.4+1048.1+525.6+956+110+105+691.8+1101.3+2300+411.8+150+419.8+676.8+750+173.6+179.9+434+702.5+451.1+1979.3+174.1+403.6+172.7+1596.5+223+1400</f>
        <v>27912.099999999991</v>
      </c>
      <c r="L7" s="7">
        <f>3371.29+5962.33+2145.63+121+3523.19+15493.63+2998.61+4362.99+2654.21+9314.6+6875.98+2538.91+3673.06+7376.85+2492.09+10933.6</f>
        <v>83837.97</v>
      </c>
      <c r="M7" s="9">
        <v>3539</v>
      </c>
      <c r="N7" s="7">
        <v>5062</v>
      </c>
      <c r="O7" s="9">
        <f>800.4+323.8+326.9+128.3+62.3+72.3+137+455.4+166.66+489.5+120.5+1173.4+281.4+538.9+690.5+544.4+115.2+167.4+446.6+355.6+679.4+231.8+491.8+199+971.8+63.7+92.7+38.2+38.1+41.2+26.1+362.7+605.7+743.3+277.7+452.7+954.6+187.3+324.3+62.5+353.3+264+236.5+119.4+706.9+298.4+547.3+98.2+239.1+400.2+460.2+1075.9+290.9+170.1+806.4+315.1+126.8+225.8+343.3+772+317.5+635.4+343.2+236.3+52.4+62.2+116.1</f>
        <v>23853.960000000003</v>
      </c>
      <c r="P7" s="10">
        <f>2514.21+606.78+660.87+308.03+3533.1+527.54+3247.23+1321.64+2331+3073.85+460.21+78.65+53.82+3823.3+2565.35+344.36+593.32+732.82+1092.61+2802.79+568.46+668.97+2676.82+2836.81+626.95+2488.32+1186.45+643.6+496.62+108.74+129.49+249.95</f>
        <v>43352.659999999989</v>
      </c>
      <c r="Q7" s="9">
        <v>0</v>
      </c>
      <c r="R7" s="7">
        <v>0</v>
      </c>
      <c r="S7" s="9">
        <v>0</v>
      </c>
      <c r="T7" s="7">
        <v>0</v>
      </c>
      <c r="U7" s="9">
        <v>0</v>
      </c>
      <c r="V7" s="7">
        <v>0</v>
      </c>
      <c r="W7" s="9">
        <v>0</v>
      </c>
      <c r="X7" s="7">
        <v>0</v>
      </c>
      <c r="Y7" s="9">
        <f>(8093000+12220000+12478000+13534000+10037000+6981000+7265000+8950000+7658000+10171000+6857000+8461000)/1000</f>
        <v>112705</v>
      </c>
      <c r="Z7" s="7">
        <f>20212.73+32075.17+36540.87+39319.1+29979.8+19781.55+21608.47+26857.78+21395.17+31544.01+19061.48+24579.14</f>
        <v>322955.26999999996</v>
      </c>
      <c r="AA7" s="9">
        <v>2790749</v>
      </c>
      <c r="AB7" s="9">
        <v>0</v>
      </c>
      <c r="AC7" s="9">
        <v>0</v>
      </c>
      <c r="AD7" s="12">
        <v>1</v>
      </c>
      <c r="AE7" s="12">
        <v>1</v>
      </c>
      <c r="AF7" s="13">
        <v>0</v>
      </c>
      <c r="AG7" s="6"/>
      <c r="AI7" s="57">
        <f t="shared" si="0"/>
        <v>142272.21119999999</v>
      </c>
      <c r="AJ7" s="70">
        <f t="shared" si="8"/>
        <v>0.40275053540086309</v>
      </c>
      <c r="AK7" s="55">
        <f t="shared" si="1"/>
        <v>206436.122</v>
      </c>
      <c r="AL7" s="70">
        <f t="shared" si="9"/>
        <v>0.58438860238630985</v>
      </c>
      <c r="AM7" s="58">
        <f t="shared" si="2"/>
        <v>529.75291000000004</v>
      </c>
      <c r="AN7" s="70">
        <f t="shared" si="10"/>
        <v>1.4996482189535637E-3</v>
      </c>
      <c r="AO7" s="59">
        <f t="shared" si="11"/>
        <v>349238.08610999997</v>
      </c>
      <c r="AP7" s="70">
        <f t="shared" si="3"/>
        <v>0.98863878600612642</v>
      </c>
      <c r="AQ7" s="59">
        <f t="shared" si="4"/>
        <v>353251.45144349599</v>
      </c>
      <c r="AS7" s="55">
        <v>4007</v>
      </c>
      <c r="AT7" s="58">
        <f t="shared" ref="AT7:AT14" si="20">(AQ7*1000000)/AA7/AS7</f>
        <v>31.589578760589024</v>
      </c>
      <c r="AU7" s="94">
        <f>(AT7-$AT$6)/$AT$6</f>
        <v>8.5736570468604723E-2</v>
      </c>
      <c r="AV7" s="69">
        <f>I7*101000/1000/AA7/AS7</f>
        <v>1.8460589781872878E-2</v>
      </c>
      <c r="AW7" s="61"/>
      <c r="AX7" s="61"/>
      <c r="AZ7" s="14">
        <v>1038</v>
      </c>
      <c r="BA7" s="96">
        <f>G7*3412/AA7/AZ7</f>
        <v>49.113620495156312</v>
      </c>
      <c r="BB7" s="94">
        <f>(BA7-$BA$6)/$BA$6</f>
        <v>-6.4282262985408872E-2</v>
      </c>
      <c r="BC7" s="94"/>
      <c r="BD7" s="107" t="s">
        <v>38</v>
      </c>
      <c r="BE7" s="108">
        <f t="shared" si="12"/>
        <v>4878277.7699999996</v>
      </c>
      <c r="BF7" s="113">
        <f t="shared" si="13"/>
        <v>2790749</v>
      </c>
      <c r="BG7" s="111">
        <f t="shared" si="14"/>
        <v>1.7480173852969219</v>
      </c>
      <c r="BH7" s="113">
        <f t="shared" si="15"/>
        <v>353251.45144349599</v>
      </c>
      <c r="BI7" s="111">
        <f t="shared" si="16"/>
        <v>12.895410567700505</v>
      </c>
      <c r="BJ7" s="112">
        <f t="shared" si="17"/>
        <v>-0.16026079047703834</v>
      </c>
      <c r="BK7" s="113">
        <f t="shared" si="18"/>
        <v>126579.44209368022</v>
      </c>
      <c r="BL7" s="114">
        <f t="shared" si="19"/>
        <v>-0.29127880996617139</v>
      </c>
    </row>
    <row r="8" spans="1:64" s="14" customFormat="1" ht="11.25" x14ac:dyDescent="0.2">
      <c r="A8" s="4">
        <v>60005010</v>
      </c>
      <c r="B8" s="15" t="s">
        <v>39</v>
      </c>
      <c r="C8" s="6" t="s">
        <v>79</v>
      </c>
      <c r="D8" s="7">
        <f t="shared" si="5"/>
        <v>4388321.76</v>
      </c>
      <c r="E8" s="7">
        <f t="shared" si="6"/>
        <v>4064501.96</v>
      </c>
      <c r="F8" s="9">
        <f t="shared" si="7"/>
        <v>357697956870.52002</v>
      </c>
      <c r="G8" s="47">
        <v>42627429</v>
      </c>
      <c r="H8" s="48">
        <v>2301696.84</v>
      </c>
      <c r="I8" s="9">
        <f>106398+110926+115076+160528+219218+219637+266050+235664+207652+178943+104546+103622</f>
        <v>2028260</v>
      </c>
      <c r="J8" s="7">
        <f>157864.07+121270.15+117680.63+154324.69+213674.01+186018.72+204711.02+142437.7+117160.77+93954.29+53379.37+55191.85</f>
        <v>1617667.2700000003</v>
      </c>
      <c r="K8" s="9">
        <v>36156.199999999997</v>
      </c>
      <c r="L8" s="7">
        <v>65564.759999999995</v>
      </c>
      <c r="M8" s="9">
        <v>29425</v>
      </c>
      <c r="N8" s="7">
        <v>79370</v>
      </c>
      <c r="O8" s="16">
        <v>87.7</v>
      </c>
      <c r="P8" s="10">
        <v>203.09</v>
      </c>
      <c r="Q8" s="9">
        <v>0</v>
      </c>
      <c r="R8" s="7">
        <v>0</v>
      </c>
      <c r="S8" s="9">
        <v>0</v>
      </c>
      <c r="T8" s="7">
        <v>0</v>
      </c>
      <c r="U8" s="9">
        <v>0</v>
      </c>
      <c r="V8" s="7">
        <v>0</v>
      </c>
      <c r="W8" s="9">
        <v>0</v>
      </c>
      <c r="X8" s="7">
        <v>0</v>
      </c>
      <c r="Y8" s="9">
        <f>(9068000+10337000+10606000+9949000+8798000+6338000+7265000+8950000+7658000+10171000+6857000+8461000)/1000</f>
        <v>104458</v>
      </c>
      <c r="Z8" s="7">
        <f>104458*3.1</f>
        <v>323819.8</v>
      </c>
      <c r="AA8" s="9">
        <v>2863949</v>
      </c>
      <c r="AB8" s="9">
        <v>0</v>
      </c>
      <c r="AC8" s="9">
        <v>0</v>
      </c>
      <c r="AD8" s="12">
        <v>1</v>
      </c>
      <c r="AE8" s="12">
        <v>1</v>
      </c>
      <c r="AF8" s="13">
        <v>0</v>
      </c>
      <c r="AG8" s="6"/>
      <c r="AI8" s="57">
        <f t="shared" si="0"/>
        <v>145444.787748</v>
      </c>
      <c r="AJ8" s="70">
        <f t="shared" si="8"/>
        <v>0.40661341490594061</v>
      </c>
      <c r="AK8" s="55">
        <f t="shared" si="1"/>
        <v>204854.26</v>
      </c>
      <c r="AL8" s="70">
        <f t="shared" si="9"/>
        <v>0.57270178949932726</v>
      </c>
      <c r="AM8" s="58">
        <f t="shared" si="2"/>
        <v>4404.6282499999998</v>
      </c>
      <c r="AN8" s="70">
        <f t="shared" si="10"/>
        <v>1.2313819985263133E-2</v>
      </c>
      <c r="AO8" s="59">
        <f t="shared" si="11"/>
        <v>354703.67599800002</v>
      </c>
      <c r="AP8" s="70">
        <f t="shared" si="3"/>
        <v>0.99162902439053102</v>
      </c>
      <c r="AQ8" s="59">
        <f t="shared" si="4"/>
        <v>357697.95687052002</v>
      </c>
      <c r="AS8" s="55">
        <v>4235</v>
      </c>
      <c r="AT8" s="58">
        <f t="shared" si="20"/>
        <v>29.491561294660272</v>
      </c>
      <c r="AU8" s="94">
        <f t="shared" ref="AU8:AU15" si="21">(AT8-$AT$6)/$AT$6</f>
        <v>1.3627527625570563E-2</v>
      </c>
      <c r="AV8" s="69">
        <f>I8*101000/1000/AA8/AS8</f>
        <v>1.6889869928581037E-2</v>
      </c>
      <c r="AW8" s="61"/>
      <c r="AX8" s="61"/>
      <c r="AZ8" s="14">
        <v>897</v>
      </c>
      <c r="BA8" s="96">
        <f t="shared" ref="BA8:BA15" si="22">G8*3412/AA8/AZ8</f>
        <v>56.616163814065978</v>
      </c>
      <c r="BB8" s="94">
        <f t="shared" ref="BB8:BB15" si="23">(BA8-$BA$6)/$BA$6</f>
        <v>7.8656962130696048E-2</v>
      </c>
      <c r="BC8" s="94"/>
      <c r="BD8" s="107" t="s">
        <v>39</v>
      </c>
      <c r="BE8" s="108">
        <f t="shared" si="12"/>
        <v>4388321.76</v>
      </c>
      <c r="BF8" s="113">
        <f t="shared" si="13"/>
        <v>2863949</v>
      </c>
      <c r="BG8" s="111">
        <f t="shared" si="14"/>
        <v>1.5322625367979665</v>
      </c>
      <c r="BH8" s="113">
        <f t="shared" si="15"/>
        <v>357697.95687052002</v>
      </c>
      <c r="BI8" s="111">
        <f t="shared" si="16"/>
        <v>11.362944299598764</v>
      </c>
      <c r="BJ8" s="112">
        <f t="shared" si="17"/>
        <v>-0.14969068542249203</v>
      </c>
      <c r="BK8" s="113">
        <f t="shared" si="18"/>
        <v>124896.76208288626</v>
      </c>
      <c r="BL8" s="114">
        <f t="shared" si="19"/>
        <v>-0.3007001738146029</v>
      </c>
    </row>
    <row r="9" spans="1:64" s="14" customFormat="1" ht="11.25" x14ac:dyDescent="0.2">
      <c r="A9" s="4">
        <v>60005010</v>
      </c>
      <c r="B9" s="15" t="s">
        <v>40</v>
      </c>
      <c r="C9" s="6" t="s">
        <v>79</v>
      </c>
      <c r="D9" s="7">
        <f t="shared" si="5"/>
        <v>4187337.4000000004</v>
      </c>
      <c r="E9" s="7">
        <f t="shared" si="6"/>
        <v>3883525.2600000002</v>
      </c>
      <c r="F9" s="9">
        <f t="shared" si="7"/>
        <v>331503986200.79999</v>
      </c>
      <c r="G9" s="9">
        <f>3681600+4027200+4257600+3926400+3571200+3264000+3768000+3580800+3816000+3806400+3307200+3672000</f>
        <v>44678400</v>
      </c>
      <c r="H9" s="7">
        <f>221709.77+242702.27+275662.7+212606.62+192701.42+180662.94+207429.06+200345.98+211941.23+212329.24+192007.95+255561.21</f>
        <v>2605660.39</v>
      </c>
      <c r="I9" s="17">
        <f>102065+98093+104753+145676+228745+269484+257705+224125+136075+81644+67020</f>
        <v>1715385</v>
      </c>
      <c r="J9" s="7">
        <f>58625.57+50877.89+48466.56+78637.93+110850.29+132167.61+190673.34+168660.9+137183.5+71733.26+47886.93+38936.91</f>
        <v>1134700.69</v>
      </c>
      <c r="K9" s="9">
        <v>26259.5</v>
      </c>
      <c r="L9" s="7">
        <v>85505.7</v>
      </c>
      <c r="M9" s="9">
        <v>7500</v>
      </c>
      <c r="N9" s="7">
        <v>10681.5</v>
      </c>
      <c r="O9" s="9">
        <v>30095.5</v>
      </c>
      <c r="P9" s="10">
        <v>46976.98</v>
      </c>
      <c r="Q9" s="9">
        <v>0</v>
      </c>
      <c r="R9" s="7">
        <v>0</v>
      </c>
      <c r="S9" s="9">
        <v>0</v>
      </c>
      <c r="T9" s="7">
        <v>0</v>
      </c>
      <c r="U9" s="9">
        <v>0</v>
      </c>
      <c r="V9" s="7">
        <v>0</v>
      </c>
      <c r="W9" s="9">
        <v>0</v>
      </c>
      <c r="X9" s="7">
        <v>0</v>
      </c>
      <c r="Y9" s="9">
        <f>(8117000+8276000+10386000+9372000+7980000+5858000+8014000+7995000+8092000+8364000+5982000+6824000)/1000</f>
        <v>95260</v>
      </c>
      <c r="Z9" s="7">
        <f>24408.21+25629.05+36796.8+31479.2+27030.34+20129.32+26069.07+24795.26+24809.03+26158.97+16895.1+19611.79</f>
        <v>303812.13999999996</v>
      </c>
      <c r="AA9" s="9">
        <v>2798946</v>
      </c>
      <c r="AB9" s="9">
        <v>0</v>
      </c>
      <c r="AC9" s="9">
        <v>0</v>
      </c>
      <c r="AD9" s="12">
        <v>1</v>
      </c>
      <c r="AE9" s="12">
        <v>1</v>
      </c>
      <c r="AF9" s="13">
        <v>0</v>
      </c>
      <c r="AG9" s="6"/>
      <c r="AI9" s="57">
        <f t="shared" si="0"/>
        <v>152442.70079999999</v>
      </c>
      <c r="AJ9" s="70">
        <f t="shared" si="8"/>
        <v>0.45985178804957644</v>
      </c>
      <c r="AK9" s="55">
        <f t="shared" si="1"/>
        <v>173253.88500000001</v>
      </c>
      <c r="AL9" s="70">
        <f t="shared" si="9"/>
        <v>0.52262986935866262</v>
      </c>
      <c r="AM9" s="58">
        <f t="shared" si="2"/>
        <v>1122.675</v>
      </c>
      <c r="AN9" s="70">
        <f t="shared" si="10"/>
        <v>3.3866108606005374E-3</v>
      </c>
      <c r="AO9" s="59">
        <f t="shared" si="11"/>
        <v>326819.26079999999</v>
      </c>
      <c r="AP9" s="70">
        <f t="shared" si="3"/>
        <v>0.98586826826883955</v>
      </c>
      <c r="AQ9" s="59">
        <f t="shared" si="4"/>
        <v>331503.98620079999</v>
      </c>
      <c r="AS9" s="55">
        <v>4433</v>
      </c>
      <c r="AT9" s="58">
        <f t="shared" si="20"/>
        <v>26.717542196839027</v>
      </c>
      <c r="AU9" s="94">
        <f t="shared" si="21"/>
        <v>-8.1715750121469977E-2</v>
      </c>
      <c r="AV9" s="69">
        <f>I9*101000/1000/AA9/AS9</f>
        <v>1.3963385587918537E-2</v>
      </c>
      <c r="AW9" s="61"/>
      <c r="AX9" s="61"/>
      <c r="AZ9" s="14">
        <v>922</v>
      </c>
      <c r="BA9" s="96">
        <f t="shared" si="22"/>
        <v>59.071934535605237</v>
      </c>
      <c r="BB9" s="94">
        <f t="shared" si="23"/>
        <v>0.12544455789370909</v>
      </c>
      <c r="BC9" s="94"/>
      <c r="BD9" s="107" t="s">
        <v>40</v>
      </c>
      <c r="BE9" s="108">
        <f t="shared" si="12"/>
        <v>4187337.4000000004</v>
      </c>
      <c r="BF9" s="113">
        <f t="shared" si="13"/>
        <v>2798946</v>
      </c>
      <c r="BG9" s="111">
        <f t="shared" si="14"/>
        <v>1.496040795356538</v>
      </c>
      <c r="BH9" s="113">
        <f t="shared" si="15"/>
        <v>331503.98620079999</v>
      </c>
      <c r="BI9" s="111">
        <f t="shared" si="16"/>
        <v>11.714867457574567</v>
      </c>
      <c r="BJ9" s="112">
        <f t="shared" si="17"/>
        <v>-0.21195824054385212</v>
      </c>
      <c r="BK9" s="113">
        <f t="shared" si="18"/>
        <v>118438.8645585874</v>
      </c>
      <c r="BL9" s="114">
        <f t="shared" si="19"/>
        <v>-0.33685808968810088</v>
      </c>
    </row>
    <row r="10" spans="1:64" s="14" customFormat="1" ht="11.25" x14ac:dyDescent="0.2">
      <c r="A10" s="4">
        <v>60005010</v>
      </c>
      <c r="B10" s="15" t="s">
        <v>41</v>
      </c>
      <c r="C10" s="6" t="s">
        <v>79</v>
      </c>
      <c r="D10" s="7">
        <f t="shared" si="5"/>
        <v>4175587</v>
      </c>
      <c r="E10" s="7">
        <f t="shared" si="6"/>
        <v>3871881</v>
      </c>
      <c r="F10" s="9">
        <f t="shared" si="7"/>
        <v>354487462758</v>
      </c>
      <c r="G10" s="9">
        <v>44860800</v>
      </c>
      <c r="H10" s="7">
        <v>2575271</v>
      </c>
      <c r="I10" s="9">
        <v>1922925</v>
      </c>
      <c r="J10" s="7">
        <v>1118459</v>
      </c>
      <c r="K10" s="9">
        <v>45110</v>
      </c>
      <c r="L10" s="7">
        <v>128022</v>
      </c>
      <c r="M10" s="9">
        <v>3000</v>
      </c>
      <c r="N10" s="7">
        <v>0</v>
      </c>
      <c r="O10" s="9">
        <v>26455</v>
      </c>
      <c r="P10" s="10">
        <v>50129</v>
      </c>
      <c r="Q10" s="9">
        <v>0</v>
      </c>
      <c r="R10" s="7">
        <v>0</v>
      </c>
      <c r="S10" s="9">
        <v>0</v>
      </c>
      <c r="T10" s="7">
        <v>0</v>
      </c>
      <c r="U10" s="9">
        <v>0</v>
      </c>
      <c r="V10" s="7">
        <v>0</v>
      </c>
      <c r="W10" s="9">
        <v>0</v>
      </c>
      <c r="X10" s="7">
        <v>0</v>
      </c>
      <c r="Y10" s="9">
        <v>96188</v>
      </c>
      <c r="Z10" s="7">
        <v>303706</v>
      </c>
      <c r="AA10" s="9">
        <v>2911228</v>
      </c>
      <c r="AB10" s="9">
        <v>0</v>
      </c>
      <c r="AC10" s="9">
        <v>0</v>
      </c>
      <c r="AD10" s="12">
        <v>1</v>
      </c>
      <c r="AE10" s="12">
        <v>1</v>
      </c>
      <c r="AF10" s="13">
        <v>0</v>
      </c>
      <c r="AG10" s="6"/>
      <c r="AI10" s="57">
        <f t="shared" si="0"/>
        <v>153065.0496</v>
      </c>
      <c r="AJ10" s="70">
        <f t="shared" si="8"/>
        <v>0.43179256160180141</v>
      </c>
      <c r="AK10" s="55">
        <f t="shared" si="1"/>
        <v>194215.42499999999</v>
      </c>
      <c r="AL10" s="70">
        <f t="shared" si="9"/>
        <v>0.54787671047363995</v>
      </c>
      <c r="AM10" s="58">
        <f t="shared" si="2"/>
        <v>449.07</v>
      </c>
      <c r="AN10" s="70">
        <f t="shared" si="10"/>
        <v>1.2668149008885237E-3</v>
      </c>
      <c r="AO10" s="59">
        <f t="shared" si="11"/>
        <v>347729.54459999996</v>
      </c>
      <c r="AP10" s="70">
        <f t="shared" si="3"/>
        <v>0.98093608697632984</v>
      </c>
      <c r="AQ10" s="59">
        <f t="shared" si="4"/>
        <v>354487.46275800001</v>
      </c>
      <c r="AS10" s="55">
        <v>4404</v>
      </c>
      <c r="AT10" s="58">
        <f t="shared" si="20"/>
        <v>27.648867679251087</v>
      </c>
      <c r="AU10" s="94">
        <f t="shared" si="21"/>
        <v>-4.9706012260526296E-2</v>
      </c>
      <c r="AV10" s="69">
        <f>I10*101000/1000/AA10/AS10</f>
        <v>1.514817067242903E-2</v>
      </c>
      <c r="AW10" s="61"/>
      <c r="AX10" s="61"/>
      <c r="AZ10" s="14">
        <v>1255</v>
      </c>
      <c r="BA10" s="96">
        <f t="shared" si="22"/>
        <v>41.894411206613555</v>
      </c>
      <c r="BB10" s="94">
        <f t="shared" si="23"/>
        <v>-0.20182337908325695</v>
      </c>
      <c r="BC10" s="94"/>
      <c r="BD10" s="107" t="s">
        <v>41</v>
      </c>
      <c r="BE10" s="108">
        <f t="shared" si="12"/>
        <v>4175587</v>
      </c>
      <c r="BF10" s="113">
        <f t="shared" si="13"/>
        <v>2911228</v>
      </c>
      <c r="BG10" s="111">
        <f t="shared" si="14"/>
        <v>1.4343043554129047</v>
      </c>
      <c r="BH10" s="113">
        <f t="shared" si="15"/>
        <v>354487.46275800001</v>
      </c>
      <c r="BI10" s="111">
        <f t="shared" si="16"/>
        <v>10.922476552134762</v>
      </c>
      <c r="BJ10" s="112">
        <f t="shared" si="17"/>
        <v>-0.157322579862583</v>
      </c>
      <c r="BK10" s="113">
        <f t="shared" si="18"/>
        <v>121765.61325942179</v>
      </c>
      <c r="BL10" s="114">
        <f t="shared" si="19"/>
        <v>-0.31823154765883593</v>
      </c>
    </row>
    <row r="11" spans="1:64" s="14" customFormat="1" ht="11.25" x14ac:dyDescent="0.2">
      <c r="A11" s="4">
        <v>60005010</v>
      </c>
      <c r="B11" s="15" t="s">
        <v>42</v>
      </c>
      <c r="C11" s="6" t="s">
        <v>79</v>
      </c>
      <c r="D11" s="7">
        <f t="shared" si="5"/>
        <v>4293145.41</v>
      </c>
      <c r="E11" s="7">
        <f t="shared" si="6"/>
        <v>3955604.55</v>
      </c>
      <c r="F11" s="9">
        <f t="shared" si="7"/>
        <v>343751310482.76001</v>
      </c>
      <c r="G11" s="9">
        <f>4051200+4286400+4248000+3801600+3796800+3480000+3715200+3571200+3878400+3667200+3556800+3590400</f>
        <v>45643200</v>
      </c>
      <c r="H11" s="7">
        <f>250367.63+273792.87+289450.51+208537.78+210460.95+196859.52+205452.55+214164.59+228387.01+217815.57+215698.9+260179.79</f>
        <v>2771167.67</v>
      </c>
      <c r="I11" s="9">
        <f>103833+102819+113030+160402+188248+216568+232934+205537+163296+142163+83775+90119</f>
        <v>1802724</v>
      </c>
      <c r="J11" s="7">
        <f>66020.67+65530.28+68928.39+94843.44+105805.43+121578.99+126953.4+106135.56+85222.87+71284.05+43261.7+47419.48</f>
        <v>1002984.2599999999</v>
      </c>
      <c r="K11" s="9">
        <v>39508.699999999997</v>
      </c>
      <c r="L11" s="7">
        <v>131258.73000000001</v>
      </c>
      <c r="M11" s="9">
        <v>0</v>
      </c>
      <c r="N11" s="7">
        <v>0</v>
      </c>
      <c r="O11" s="9">
        <v>24712.6</v>
      </c>
      <c r="P11" s="7">
        <v>50193.89</v>
      </c>
      <c r="Q11" s="9">
        <v>0</v>
      </c>
      <c r="R11" s="7">
        <v>0</v>
      </c>
      <c r="S11" s="9">
        <v>0</v>
      </c>
      <c r="T11" s="7">
        <v>0</v>
      </c>
      <c r="U11" s="9">
        <v>0</v>
      </c>
      <c r="V11" s="7">
        <v>0</v>
      </c>
      <c r="W11" s="9">
        <v>0</v>
      </c>
      <c r="X11" s="7">
        <v>0</v>
      </c>
      <c r="Y11" s="9">
        <f>(8040000+10795000+11172000+10043000+9408000+8122000+8260000+8881000+9066000+8485000+6140000+6709000)/1000</f>
        <v>105121</v>
      </c>
      <c r="Z11" s="7">
        <f>20244.71+32805.86+36597.48+32860.86+31665.75+28489.65+28284.8+31055.14+31644.76+28058.54+17684.05+18149.26</f>
        <v>337540.86</v>
      </c>
      <c r="AA11" s="9">
        <v>2954814</v>
      </c>
      <c r="AB11" s="9">
        <v>0</v>
      </c>
      <c r="AC11" s="9">
        <v>0</v>
      </c>
      <c r="AD11" s="12">
        <v>1</v>
      </c>
      <c r="AE11" s="12">
        <v>1</v>
      </c>
      <c r="AF11" s="13">
        <v>0</v>
      </c>
      <c r="AG11" s="6"/>
      <c r="AI11" s="57">
        <f t="shared" si="0"/>
        <v>155734.59839999999</v>
      </c>
      <c r="AJ11" s="70">
        <f t="shared" si="8"/>
        <v>0.45304437728917535</v>
      </c>
      <c r="AK11" s="55">
        <f t="shared" ref="AK11:AK16" si="24">I11*101000/1000000</f>
        <v>182075.12400000001</v>
      </c>
      <c r="AL11" s="70">
        <f t="shared" si="9"/>
        <v>0.52967106872784275</v>
      </c>
      <c r="AM11" s="58">
        <f t="shared" si="2"/>
        <v>0</v>
      </c>
      <c r="AN11" s="70">
        <f t="shared" si="10"/>
        <v>0</v>
      </c>
      <c r="AO11" s="59">
        <f t="shared" si="11"/>
        <v>337809.72239999997</v>
      </c>
      <c r="AP11" s="70">
        <f t="shared" si="3"/>
        <v>0.9827154460170181</v>
      </c>
      <c r="AQ11" s="59">
        <f t="shared" si="4"/>
        <v>343751.31048276002</v>
      </c>
      <c r="AS11" s="55">
        <v>3528</v>
      </c>
      <c r="AT11" s="58">
        <f t="shared" si="20"/>
        <v>32.975063306274208</v>
      </c>
      <c r="AU11" s="94">
        <f t="shared" si="21"/>
        <v>0.13335579484858301</v>
      </c>
      <c r="AV11" s="58">
        <f>AK11/AS11</f>
        <v>51.608595238095241</v>
      </c>
      <c r="AW11" s="61"/>
      <c r="AX11" s="61"/>
      <c r="AZ11" s="14">
        <v>1077</v>
      </c>
      <c r="BA11" s="96">
        <f t="shared" si="22"/>
        <v>48.937215647561757</v>
      </c>
      <c r="BB11" s="94">
        <f t="shared" si="23"/>
        <v>-6.7643146241935626E-2</v>
      </c>
      <c r="BC11" s="94"/>
      <c r="BD11" s="107" t="s">
        <v>42</v>
      </c>
      <c r="BE11" s="108">
        <f t="shared" si="12"/>
        <v>4293145.41</v>
      </c>
      <c r="BF11" s="113">
        <f t="shared" si="13"/>
        <v>2954814</v>
      </c>
      <c r="BG11" s="111">
        <f t="shared" si="14"/>
        <v>1.4529325399162181</v>
      </c>
      <c r="BH11" s="113">
        <f t="shared" si="15"/>
        <v>343751.31048276002</v>
      </c>
      <c r="BI11" s="111">
        <f t="shared" si="16"/>
        <v>11.507169367426698</v>
      </c>
      <c r="BJ11" s="112">
        <f t="shared" si="17"/>
        <v>-0.18284425284676392</v>
      </c>
      <c r="BK11" s="113">
        <f t="shared" si="18"/>
        <v>116336.0233445354</v>
      </c>
      <c r="BL11" s="114">
        <f t="shared" si="19"/>
        <v>-0.34863194571894152</v>
      </c>
    </row>
    <row r="12" spans="1:64" s="14" customFormat="1" ht="11.25" x14ac:dyDescent="0.2">
      <c r="A12" s="4">
        <v>60005010</v>
      </c>
      <c r="B12" s="15" t="s">
        <v>43</v>
      </c>
      <c r="C12" s="6" t="s">
        <v>79</v>
      </c>
      <c r="D12" s="7">
        <f t="shared" si="5"/>
        <v>4572034.8499999996</v>
      </c>
      <c r="E12" s="7">
        <f t="shared" si="6"/>
        <v>4266534.0599999996</v>
      </c>
      <c r="F12" s="9">
        <f t="shared" si="7"/>
        <v>362136767052.79999</v>
      </c>
      <c r="G12" s="47">
        <v>47401358</v>
      </c>
      <c r="H12" s="48">
        <v>3049797</v>
      </c>
      <c r="I12" s="9">
        <v>1944331</v>
      </c>
      <c r="J12" s="7">
        <v>1089996.55</v>
      </c>
      <c r="K12" s="9">
        <v>23359.3</v>
      </c>
      <c r="L12" s="7">
        <v>82008.009999999995</v>
      </c>
      <c r="M12" s="9">
        <v>1000</v>
      </c>
      <c r="N12" s="7">
        <v>0</v>
      </c>
      <c r="O12" s="9">
        <v>28160.5</v>
      </c>
      <c r="P12" s="7">
        <v>44732.5</v>
      </c>
      <c r="Q12" s="9">
        <v>0</v>
      </c>
      <c r="R12" s="7">
        <v>0</v>
      </c>
      <c r="S12" s="9">
        <v>0</v>
      </c>
      <c r="T12" s="7">
        <v>0</v>
      </c>
      <c r="U12" s="9">
        <v>0</v>
      </c>
      <c r="V12" s="7">
        <v>0</v>
      </c>
      <c r="W12" s="9">
        <v>0</v>
      </c>
      <c r="X12" s="7">
        <v>0</v>
      </c>
      <c r="Y12" s="9">
        <v>97328.26</v>
      </c>
      <c r="Z12" s="7">
        <v>305500.78999999998</v>
      </c>
      <c r="AA12" s="9">
        <v>3105538</v>
      </c>
      <c r="AB12" s="9">
        <v>0</v>
      </c>
      <c r="AC12" s="9">
        <v>0</v>
      </c>
      <c r="AD12" s="12">
        <v>1</v>
      </c>
      <c r="AE12" s="12">
        <v>1</v>
      </c>
      <c r="AF12" s="13">
        <v>0</v>
      </c>
      <c r="AG12" s="6"/>
      <c r="AI12" s="57">
        <f t="shared" si="0"/>
        <v>161733.43349600001</v>
      </c>
      <c r="AJ12" s="70">
        <f t="shared" si="8"/>
        <v>0.44660870756715815</v>
      </c>
      <c r="AK12" s="55">
        <f t="shared" si="24"/>
        <v>196377.43100000001</v>
      </c>
      <c r="AL12" s="70">
        <f t="shared" si="9"/>
        <v>0.54227421478959614</v>
      </c>
      <c r="AM12" s="58">
        <f t="shared" si="2"/>
        <v>149.69</v>
      </c>
      <c r="AN12" s="70">
        <f t="shared" si="10"/>
        <v>4.1335211891968705E-4</v>
      </c>
      <c r="AO12" s="59">
        <f t="shared" si="11"/>
        <v>358260.554496</v>
      </c>
      <c r="AP12" s="70">
        <f t="shared" si="3"/>
        <v>0.98929627447567392</v>
      </c>
      <c r="AQ12" s="59">
        <f t="shared" si="4"/>
        <v>362136.76705279999</v>
      </c>
      <c r="AS12" s="55">
        <v>4174</v>
      </c>
      <c r="AT12" s="58">
        <f t="shared" si="20"/>
        <v>27.937228998787337</v>
      </c>
      <c r="AU12" s="94">
        <f t="shared" si="21"/>
        <v>-3.9795008619044003E-2</v>
      </c>
      <c r="AV12" s="58">
        <f>AK12/AS12</f>
        <v>47.047779348346914</v>
      </c>
      <c r="AW12" s="63">
        <f>($AV$11-AV12)/AV11</f>
        <v>8.8373184131579088E-2</v>
      </c>
      <c r="AX12" s="64">
        <f>J12*AW12</f>
        <v>96326.465815935953</v>
      </c>
      <c r="AZ12" s="14">
        <v>950</v>
      </c>
      <c r="BA12" s="96">
        <f t="shared" si="22"/>
        <v>54.820040672332361</v>
      </c>
      <c r="BB12" s="94">
        <f t="shared" si="23"/>
        <v>4.4437039741788316E-2</v>
      </c>
      <c r="BC12" s="94"/>
      <c r="BD12" s="107" t="s">
        <v>43</v>
      </c>
      <c r="BE12" s="108">
        <f t="shared" si="12"/>
        <v>4572034.8499999996</v>
      </c>
      <c r="BF12" s="113">
        <f t="shared" si="13"/>
        <v>3105538</v>
      </c>
      <c r="BG12" s="111">
        <f t="shared" si="14"/>
        <v>1.4722199019944369</v>
      </c>
      <c r="BH12" s="113">
        <f t="shared" si="15"/>
        <v>362136.76705279999</v>
      </c>
      <c r="BI12" s="111">
        <f t="shared" si="16"/>
        <v>11.781554506941113</v>
      </c>
      <c r="BJ12" s="112">
        <f t="shared" si="17"/>
        <v>-0.13913887328284263</v>
      </c>
      <c r="BK12" s="113">
        <f t="shared" si="18"/>
        <v>116609.99384093835</v>
      </c>
      <c r="BL12" s="114">
        <f t="shared" si="19"/>
        <v>-0.34709797864630149</v>
      </c>
    </row>
    <row r="13" spans="1:64" s="14" customFormat="1" ht="11.25" x14ac:dyDescent="0.2">
      <c r="A13" s="4">
        <v>60005010</v>
      </c>
      <c r="B13" s="15" t="s">
        <v>44</v>
      </c>
      <c r="C13" s="6" t="s">
        <v>79</v>
      </c>
      <c r="D13" s="7">
        <f t="shared" si="5"/>
        <v>4912534.5200000005</v>
      </c>
      <c r="E13" s="7">
        <f t="shared" si="6"/>
        <v>4585394.4400000004</v>
      </c>
      <c r="F13" s="9">
        <f t="shared" si="7"/>
        <v>369976271864.32001</v>
      </c>
      <c r="G13" s="47">
        <v>47990400</v>
      </c>
      <c r="H13" s="49">
        <v>3120686.79</v>
      </c>
      <c r="I13" s="9">
        <v>1860120</v>
      </c>
      <c r="J13" s="18">
        <v>1122036.0999999999</v>
      </c>
      <c r="K13" s="9">
        <v>19742.2</v>
      </c>
      <c r="L13" s="18">
        <v>67481.66</v>
      </c>
      <c r="M13" s="9">
        <v>98018</v>
      </c>
      <c r="N13" s="18">
        <v>209611.49</v>
      </c>
      <c r="O13" s="9">
        <v>30668.2</v>
      </c>
      <c r="P13" s="18">
        <v>65578.399999999994</v>
      </c>
      <c r="Q13" s="9">
        <v>0</v>
      </c>
      <c r="R13" s="18">
        <v>0</v>
      </c>
      <c r="S13" s="9">
        <v>0</v>
      </c>
      <c r="T13" s="18">
        <v>0</v>
      </c>
      <c r="U13" s="9">
        <v>0</v>
      </c>
      <c r="V13" s="18">
        <v>0</v>
      </c>
      <c r="W13" s="9">
        <v>0</v>
      </c>
      <c r="X13" s="18">
        <v>0</v>
      </c>
      <c r="Y13" s="9">
        <v>96316</v>
      </c>
      <c r="Z13" s="18">
        <v>327140.08</v>
      </c>
      <c r="AA13" s="9">
        <v>3103210</v>
      </c>
      <c r="AB13" s="9">
        <v>0</v>
      </c>
      <c r="AC13" s="9">
        <v>0</v>
      </c>
      <c r="AD13" s="12">
        <v>1</v>
      </c>
      <c r="AE13" s="12">
        <v>1</v>
      </c>
      <c r="AF13" s="19">
        <v>0</v>
      </c>
      <c r="AG13" s="6"/>
      <c r="AI13" s="57">
        <f t="shared" si="0"/>
        <v>163743.24479999999</v>
      </c>
      <c r="AJ13" s="70">
        <f t="shared" si="8"/>
        <v>0.44257769282038961</v>
      </c>
      <c r="AK13" s="55">
        <f t="shared" si="24"/>
        <v>187872.12</v>
      </c>
      <c r="AL13" s="70">
        <f t="shared" si="9"/>
        <v>0.50779505143210268</v>
      </c>
      <c r="AM13" s="58">
        <f t="shared" si="2"/>
        <v>14672.314420000001</v>
      </c>
      <c r="AN13" s="70">
        <f t="shared" si="10"/>
        <v>3.9657447073742941E-2</v>
      </c>
      <c r="AO13" s="59">
        <f t="shared" si="11"/>
        <v>366287.67921999999</v>
      </c>
      <c r="AP13" s="70">
        <f t="shared" si="3"/>
        <v>0.99003019132623526</v>
      </c>
      <c r="AQ13" s="59">
        <f t="shared" si="4"/>
        <v>369976.27186432004</v>
      </c>
      <c r="AS13" s="55">
        <v>4280</v>
      </c>
      <c r="AT13" s="58">
        <f t="shared" si="20"/>
        <v>27.856011734270815</v>
      </c>
      <c r="AU13" s="94">
        <f t="shared" si="21"/>
        <v>-4.2586453066825715E-2</v>
      </c>
      <c r="AV13" s="62">
        <f>AK13/AS13</f>
        <v>43.895355140186915</v>
      </c>
      <c r="AW13" s="63">
        <f>($AV$11-AV13)/AV12</f>
        <v>0.16394482810333408</v>
      </c>
      <c r="AX13" s="64"/>
      <c r="AZ13" s="14">
        <v>909</v>
      </c>
      <c r="BA13" s="96">
        <f t="shared" si="22"/>
        <v>58.04814461099437</v>
      </c>
      <c r="BB13" s="94">
        <f t="shared" si="23"/>
        <v>0.10593920720326881</v>
      </c>
      <c r="BC13" s="94"/>
      <c r="BD13" s="107" t="s">
        <v>44</v>
      </c>
      <c r="BE13" s="108">
        <f t="shared" si="12"/>
        <v>4912534.5200000005</v>
      </c>
      <c r="BF13" s="113">
        <f t="shared" si="13"/>
        <v>3103210</v>
      </c>
      <c r="BG13" s="111">
        <f t="shared" si="14"/>
        <v>1.583049332787662</v>
      </c>
      <c r="BH13" s="113">
        <f t="shared" si="15"/>
        <v>369976.27186432004</v>
      </c>
      <c r="BI13" s="111">
        <f t="shared" si="16"/>
        <v>12.393752758505508</v>
      </c>
      <c r="BJ13" s="112">
        <f t="shared" si="17"/>
        <v>-0.12050302749487338</v>
      </c>
      <c r="BK13" s="113">
        <f t="shared" si="18"/>
        <v>119223.73022267911</v>
      </c>
      <c r="BL13" s="114">
        <f t="shared" si="19"/>
        <v>-0.33246360889192161</v>
      </c>
    </row>
    <row r="14" spans="1:64" s="14" customFormat="1" ht="11.25" x14ac:dyDescent="0.2">
      <c r="A14" s="4">
        <v>60005010</v>
      </c>
      <c r="B14" s="15" t="s">
        <v>45</v>
      </c>
      <c r="C14" s="6" t="s">
        <v>79</v>
      </c>
      <c r="D14" s="7">
        <f t="shared" si="5"/>
        <v>4682160.3499999996</v>
      </c>
      <c r="E14" s="7">
        <f t="shared" si="6"/>
        <v>4313343.12</v>
      </c>
      <c r="F14" s="9">
        <f t="shared" si="7"/>
        <v>366610986360.44</v>
      </c>
      <c r="G14" s="9">
        <f>44232000+2905200</f>
        <v>47137200</v>
      </c>
      <c r="H14" s="7">
        <f>2847703.12+218216.28</f>
        <v>3065919.4</v>
      </c>
      <c r="I14" s="46">
        <v>1947381</v>
      </c>
      <c r="J14" s="7">
        <v>1041140.14</v>
      </c>
      <c r="K14" s="9">
        <v>22408</v>
      </c>
      <c r="L14" s="7">
        <v>57203.78</v>
      </c>
      <c r="M14" s="9">
        <v>40000</v>
      </c>
      <c r="N14" s="7">
        <v>114116</v>
      </c>
      <c r="O14" s="9">
        <f>10594.5+10632.4</f>
        <v>21226.9</v>
      </c>
      <c r="P14" s="7">
        <f>11082.1+23881.7</f>
        <v>34963.800000000003</v>
      </c>
      <c r="Q14" s="9">
        <v>0</v>
      </c>
      <c r="R14" s="7">
        <v>0</v>
      </c>
      <c r="S14" s="9">
        <v>0</v>
      </c>
      <c r="T14" s="7">
        <v>0</v>
      </c>
      <c r="U14" s="9">
        <v>0</v>
      </c>
      <c r="V14" s="7">
        <v>0</v>
      </c>
      <c r="W14" s="9">
        <v>0</v>
      </c>
      <c r="X14" s="7">
        <v>0</v>
      </c>
      <c r="Y14" s="46">
        <f>96796.7+695.72</f>
        <v>97492.42</v>
      </c>
      <c r="Z14" s="7">
        <f>362870+5947.23</f>
        <v>368817.23</v>
      </c>
      <c r="AA14" s="9">
        <v>3103210</v>
      </c>
      <c r="AB14" s="9">
        <v>0</v>
      </c>
      <c r="AC14" s="9">
        <v>0</v>
      </c>
      <c r="AD14" s="12">
        <v>1</v>
      </c>
      <c r="AE14" s="12">
        <v>1</v>
      </c>
      <c r="AF14" s="9">
        <v>0</v>
      </c>
      <c r="AG14" s="6"/>
      <c r="AI14" s="57">
        <f t="shared" si="0"/>
        <v>160832.12640000001</v>
      </c>
      <c r="AJ14" s="70">
        <f t="shared" si="8"/>
        <v>0.43869969090854</v>
      </c>
      <c r="AK14" s="55">
        <f t="shared" si="24"/>
        <v>196685.481</v>
      </c>
      <c r="AL14" s="70">
        <f t="shared" si="9"/>
        <v>0.53649641804958137</v>
      </c>
      <c r="AM14" s="58">
        <f t="shared" si="2"/>
        <v>5987.6</v>
      </c>
      <c r="AN14" s="70">
        <f t="shared" si="10"/>
        <v>1.6332298329197331E-2</v>
      </c>
      <c r="AO14" s="59">
        <f t="shared" si="11"/>
        <v>363505.20739999996</v>
      </c>
      <c r="AP14" s="70">
        <f t="shared" si="3"/>
        <v>0.9915284072873185</v>
      </c>
      <c r="AQ14" s="59">
        <f t="shared" si="4"/>
        <v>366610.98636044003</v>
      </c>
      <c r="AS14" s="55">
        <v>4151</v>
      </c>
      <c r="AT14" s="58">
        <f t="shared" si="20"/>
        <v>28.460437770973858</v>
      </c>
      <c r="AU14" s="94">
        <f t="shared" si="21"/>
        <v>-2.1812277596951361E-2</v>
      </c>
      <c r="AV14" s="58">
        <f>AK14/AS14</f>
        <v>47.382674295350519</v>
      </c>
      <c r="AW14" s="63">
        <f>($AV$11-AV14)/AV13</f>
        <v>9.6272622222751361E-2</v>
      </c>
      <c r="AX14" s="64">
        <f>J14*AW14</f>
        <v>100233.29137916246</v>
      </c>
      <c r="AZ14" s="14">
        <v>968</v>
      </c>
      <c r="BA14" s="96">
        <f t="shared" si="22"/>
        <v>53.540975605611898</v>
      </c>
      <c r="BB14" s="94">
        <f t="shared" si="23"/>
        <v>2.0068160851173359E-2</v>
      </c>
      <c r="BC14" s="94"/>
      <c r="BD14" s="107" t="s">
        <v>45</v>
      </c>
      <c r="BE14" s="108">
        <f t="shared" si="12"/>
        <v>4682160.3499999996</v>
      </c>
      <c r="BF14" s="113">
        <f t="shared" si="13"/>
        <v>3103210</v>
      </c>
      <c r="BG14" s="111">
        <f t="shared" si="14"/>
        <v>1.5088119560068445</v>
      </c>
      <c r="BH14" s="113">
        <f t="shared" si="15"/>
        <v>366610.98636044003</v>
      </c>
      <c r="BI14" s="111">
        <f t="shared" si="16"/>
        <v>11.765449701388002</v>
      </c>
      <c r="BJ14" s="112">
        <f t="shared" si="17"/>
        <v>-0.12850288758688294</v>
      </c>
      <c r="BK14" s="113">
        <f t="shared" si="18"/>
        <v>118139.2771873125</v>
      </c>
      <c r="BL14" s="114">
        <f t="shared" si="19"/>
        <v>-0.33853548622878021</v>
      </c>
    </row>
    <row r="15" spans="1:64" s="14" customFormat="1" ht="11.25" x14ac:dyDescent="0.2">
      <c r="A15" s="4">
        <v>60005010</v>
      </c>
      <c r="B15" s="15" t="s">
        <v>46</v>
      </c>
      <c r="C15" s="6" t="s">
        <v>79</v>
      </c>
      <c r="D15" s="7">
        <f t="shared" si="5"/>
        <v>4099822.96</v>
      </c>
      <c r="E15" s="7">
        <f t="shared" si="6"/>
        <v>3746077.6999999997</v>
      </c>
      <c r="F15" s="9">
        <f t="shared" si="7"/>
        <v>323352419167.20001</v>
      </c>
      <c r="G15" s="9">
        <f>40929600+2662385</f>
        <v>43591985</v>
      </c>
      <c r="H15" s="7">
        <f>2655605.72+209579.53</f>
        <v>2865185.25</v>
      </c>
      <c r="I15" s="9">
        <v>1691124</v>
      </c>
      <c r="J15" s="7">
        <v>821873.46</v>
      </c>
      <c r="K15" s="9">
        <v>21043</v>
      </c>
      <c r="L15" s="7">
        <v>31042.21</v>
      </c>
      <c r="M15" s="46">
        <v>2000</v>
      </c>
      <c r="N15" s="7">
        <f>M15*2.7</f>
        <v>5400</v>
      </c>
      <c r="O15" s="46">
        <v>24947</v>
      </c>
      <c r="P15" s="7">
        <v>22576.78</v>
      </c>
      <c r="Q15" s="9">
        <v>0</v>
      </c>
      <c r="R15" s="7">
        <v>0</v>
      </c>
      <c r="S15" s="9">
        <v>0</v>
      </c>
      <c r="T15" s="7">
        <v>0</v>
      </c>
      <c r="U15" s="9">
        <v>0</v>
      </c>
      <c r="V15" s="7">
        <v>0</v>
      </c>
      <c r="W15" s="9">
        <v>0</v>
      </c>
      <c r="X15" s="7">
        <v>0</v>
      </c>
      <c r="Y15" s="46">
        <f>(7387+5912+9778+8273+8093+7144+5530+8401+9248+10666+10175+7163)+199.89</f>
        <v>97969.89</v>
      </c>
      <c r="Z15" s="7">
        <f>(20089.06+19971.21+37517.7+32947.63+33393.61+29923.15+15790.4+30484.4+36438.25+40208.49+34064.25+20902.78)+2014.33</f>
        <v>353745.26000000007</v>
      </c>
      <c r="AA15" s="9">
        <v>3103210</v>
      </c>
      <c r="AB15" s="9">
        <v>0</v>
      </c>
      <c r="AC15" s="9">
        <v>0</v>
      </c>
      <c r="AD15" s="12">
        <v>1</v>
      </c>
      <c r="AE15" s="12">
        <v>1</v>
      </c>
      <c r="AF15" s="9">
        <v>0</v>
      </c>
      <c r="AG15" s="6"/>
      <c r="AI15" s="57">
        <f t="shared" si="0"/>
        <v>148735.85282</v>
      </c>
      <c r="AJ15" s="70">
        <f t="shared" si="8"/>
        <v>0.45998064032757785</v>
      </c>
      <c r="AK15" s="55">
        <f t="shared" si="24"/>
        <v>170803.524</v>
      </c>
      <c r="AL15" s="70">
        <f t="shared" si="9"/>
        <v>0.52822714127176651</v>
      </c>
      <c r="AM15" s="58">
        <f t="shared" si="2"/>
        <v>299.38</v>
      </c>
      <c r="AN15" s="70">
        <f t="shared" si="10"/>
        <v>9.2586287361343578E-4</v>
      </c>
      <c r="AO15" s="59">
        <f t="shared" si="11"/>
        <v>319838.75682000001</v>
      </c>
      <c r="AP15" s="70">
        <f t="shared" si="3"/>
        <v>0.98913364447295782</v>
      </c>
      <c r="AQ15" s="59">
        <f>F15/1000000</f>
        <v>323352.41916719999</v>
      </c>
      <c r="AS15" s="55">
        <v>3571</v>
      </c>
      <c r="AT15" s="58">
        <f>(AQ15*1000000)/AA15/AS15</f>
        <v>29.179315390197072</v>
      </c>
      <c r="AU15" s="94">
        <f t="shared" si="21"/>
        <v>2.8956087220586876E-3</v>
      </c>
      <c r="AV15" s="58">
        <f>AK15/AS15</f>
        <v>47.830726407168861</v>
      </c>
      <c r="AW15" s="63">
        <f>($AV$11-AV15)/AV14</f>
        <v>7.9731017446963467E-2</v>
      </c>
      <c r="AX15" s="64">
        <f>J15*AW15</f>
        <v>65528.807178456227</v>
      </c>
      <c r="AZ15" s="14">
        <v>952</v>
      </c>
      <c r="BA15" s="96">
        <f t="shared" si="22"/>
        <v>50.346299321285613</v>
      </c>
      <c r="BB15" s="94">
        <f t="shared" si="23"/>
        <v>-4.0797139510032679E-2</v>
      </c>
      <c r="BC15" s="94"/>
      <c r="BD15" s="107" t="s">
        <v>46</v>
      </c>
      <c r="BE15" s="108">
        <f t="shared" si="12"/>
        <v>4099822.96</v>
      </c>
      <c r="BF15" s="113">
        <f t="shared" si="13"/>
        <v>3103210</v>
      </c>
      <c r="BG15" s="111">
        <f t="shared" si="14"/>
        <v>1.3211555002722988</v>
      </c>
      <c r="BH15" s="113">
        <f t="shared" si="15"/>
        <v>323352.41916719999</v>
      </c>
      <c r="BI15" s="111">
        <f t="shared" si="16"/>
        <v>11.585123468839635</v>
      </c>
      <c r="BJ15" s="112">
        <f t="shared" si="17"/>
        <v>-0.23133591168772741</v>
      </c>
      <c r="BK15" s="113">
        <f t="shared" si="18"/>
        <v>104199.33525839372</v>
      </c>
      <c r="BL15" s="114">
        <f t="shared" si="19"/>
        <v>-0.41658553977186685</v>
      </c>
    </row>
    <row r="16" spans="1:64" s="14" customFormat="1" ht="11.25" customHeight="1" thickBot="1" x14ac:dyDescent="0.25">
      <c r="A16" s="4">
        <v>60005010</v>
      </c>
      <c r="B16" s="15" t="s">
        <v>80</v>
      </c>
      <c r="C16" s="6" t="s">
        <v>79</v>
      </c>
      <c r="D16" s="7">
        <f t="shared" si="5"/>
        <v>3991779.9400000004</v>
      </c>
      <c r="E16" s="7">
        <f t="shared" si="6"/>
        <v>3582727.68</v>
      </c>
      <c r="F16" s="9">
        <f t="shared" si="7"/>
        <v>320246406101.59998</v>
      </c>
      <c r="G16" s="9">
        <f>40454400+2335002+734400</f>
        <v>43523802</v>
      </c>
      <c r="H16" s="7">
        <f>2507412+193108.42+62349.29</f>
        <v>2762869.71</v>
      </c>
      <c r="I16" s="9">
        <f>1668220+9807</f>
        <v>1678027</v>
      </c>
      <c r="J16" s="7">
        <f>757231.62+6837.65</f>
        <v>764069.27</v>
      </c>
      <c r="K16" s="9">
        <v>23841</v>
      </c>
      <c r="L16" s="7">
        <v>46437.99</v>
      </c>
      <c r="M16" s="9">
        <v>2000</v>
      </c>
      <c r="N16" s="7">
        <f>M16*2.7</f>
        <v>5400</v>
      </c>
      <c r="O16" s="9">
        <v>3651</v>
      </c>
      <c r="P16" s="7">
        <v>3950.71</v>
      </c>
      <c r="Q16" s="9">
        <v>0</v>
      </c>
      <c r="R16" s="7">
        <v>0</v>
      </c>
      <c r="S16" s="9">
        <v>0</v>
      </c>
      <c r="T16" s="7">
        <v>0</v>
      </c>
      <c r="U16" s="9">
        <v>0</v>
      </c>
      <c r="V16" s="7">
        <v>0</v>
      </c>
      <c r="W16" s="9">
        <v>0</v>
      </c>
      <c r="X16" s="7">
        <v>0</v>
      </c>
      <c r="Y16" s="9">
        <f>(5021+5169+8508+8203+9161+8643+8979+10538+10775+11883+8307+8307)+1760+207</f>
        <v>105461</v>
      </c>
      <c r="Z16" s="7">
        <f>(18041.62+22206.76+33283.76+33516.16+33779.85+34006.54+33143.22+40758.11+38373.11+31769.14+30776.05+32848.49)+23759.34+2790.11</f>
        <v>409052.26</v>
      </c>
      <c r="AA16" s="46">
        <f>3103210+120571</f>
        <v>3223781</v>
      </c>
      <c r="AB16" s="9">
        <v>120571</v>
      </c>
      <c r="AC16" s="9">
        <v>0</v>
      </c>
      <c r="AD16" s="12">
        <v>1</v>
      </c>
      <c r="AE16" s="12">
        <v>1</v>
      </c>
      <c r="AF16" s="9">
        <v>0</v>
      </c>
      <c r="AG16" s="6"/>
      <c r="AH16" s="6"/>
      <c r="AI16" s="57">
        <f t="shared" ref="AI16" si="25">G16*3412/1000000</f>
        <v>148503.212424</v>
      </c>
      <c r="AJ16" s="70">
        <f t="shared" ref="AJ16" si="26">AI16/AQ16</f>
        <v>0.46371546907191996</v>
      </c>
      <c r="AK16" s="55">
        <f t="shared" si="24"/>
        <v>169480.72700000001</v>
      </c>
      <c r="AL16" s="70">
        <f t="shared" ref="AL16" si="27">AK16/AQ16</f>
        <v>0.52921976256692571</v>
      </c>
      <c r="AM16" s="58">
        <f t="shared" ref="AM16" si="28">M16*149690/1000000</f>
        <v>299.38</v>
      </c>
      <c r="AN16" s="70">
        <f t="shared" ref="AN16" si="29">AM16/AQ16</f>
        <v>9.3484265333182231E-4</v>
      </c>
      <c r="AO16" s="59">
        <f t="shared" ref="AO16" si="30">AI16+AK16+AM16</f>
        <v>318283.31942399999</v>
      </c>
      <c r="AP16" s="70">
        <f t="shared" ref="AP16" si="31">AO16/AQ16</f>
        <v>0.99387007429217744</v>
      </c>
      <c r="AQ16" s="59">
        <f>F16/1000000</f>
        <v>320246.40610159998</v>
      </c>
      <c r="AR16" s="55"/>
      <c r="AS16" s="61"/>
      <c r="AT16" s="61"/>
      <c r="AU16" s="61"/>
      <c r="AV16" s="61"/>
      <c r="AW16" s="60"/>
      <c r="AX16" s="55"/>
      <c r="AY16" s="21"/>
      <c r="AZ16" s="6"/>
      <c r="BA16" s="22"/>
      <c r="BB16" s="6"/>
      <c r="BC16" s="6"/>
      <c r="BD16" s="115" t="s">
        <v>80</v>
      </c>
      <c r="BE16" s="116">
        <f t="shared" ref="BE16" si="32">D16</f>
        <v>3991779.9400000004</v>
      </c>
      <c r="BF16" s="117">
        <f t="shared" ref="BF16" si="33">AA16</f>
        <v>3223781</v>
      </c>
      <c r="BG16" s="118">
        <f t="shared" ref="BG16" si="34">BE16/BF16</f>
        <v>1.2382292531657704</v>
      </c>
      <c r="BH16" s="117">
        <f t="shared" ref="BH16" si="35">F16/1000000</f>
        <v>320246.40610159998</v>
      </c>
      <c r="BI16" s="119">
        <f t="shared" ref="BI16" si="36">E16/BH16</f>
        <v>11.187409481383407</v>
      </c>
      <c r="BJ16" s="120">
        <f t="shared" ref="BJ16" si="37">(BH16-$BH$2)/$BH$2</f>
        <v>-0.23871943678243504</v>
      </c>
      <c r="BK16" s="121">
        <f t="shared" ref="BK16" si="38">BH16/BF16*1000000</f>
        <v>99338.759705327364</v>
      </c>
      <c r="BL16" s="122">
        <f t="shared" ref="BL16" si="39">((BH16/BF16)-($BH$2/$BF$2))/($BH$2/$BF$2)</f>
        <v>-0.44380001341182074</v>
      </c>
    </row>
    <row r="17" spans="1:65" s="14" customFormat="1" ht="11.25" x14ac:dyDescent="0.2">
      <c r="A17" s="4">
        <v>60005010</v>
      </c>
      <c r="B17" s="15" t="s">
        <v>48</v>
      </c>
      <c r="C17" s="6" t="s">
        <v>79</v>
      </c>
      <c r="D17" s="7">
        <f t="shared" si="5"/>
        <v>0</v>
      </c>
      <c r="E17" s="7">
        <f t="shared" si="6"/>
        <v>0</v>
      </c>
      <c r="F17" s="9">
        <f t="shared" si="7"/>
        <v>0</v>
      </c>
      <c r="G17" s="9">
        <v>0</v>
      </c>
      <c r="H17" s="7">
        <v>0</v>
      </c>
      <c r="I17" s="9">
        <v>0</v>
      </c>
      <c r="J17" s="7">
        <v>0</v>
      </c>
      <c r="K17" s="9">
        <v>0</v>
      </c>
      <c r="L17" s="7">
        <v>0</v>
      </c>
      <c r="M17" s="9">
        <v>0</v>
      </c>
      <c r="N17" s="7">
        <v>0</v>
      </c>
      <c r="O17" s="9">
        <v>0</v>
      </c>
      <c r="P17" s="7">
        <v>0</v>
      </c>
      <c r="Q17" s="9">
        <v>0</v>
      </c>
      <c r="R17" s="7">
        <v>0</v>
      </c>
      <c r="S17" s="9">
        <v>0</v>
      </c>
      <c r="T17" s="7">
        <v>0</v>
      </c>
      <c r="U17" s="9">
        <v>0</v>
      </c>
      <c r="V17" s="7">
        <v>0</v>
      </c>
      <c r="W17" s="9">
        <v>0</v>
      </c>
      <c r="X17" s="7">
        <v>0</v>
      </c>
      <c r="Y17" s="9">
        <v>0</v>
      </c>
      <c r="Z17" s="7">
        <v>0</v>
      </c>
      <c r="AA17" s="9">
        <v>0</v>
      </c>
      <c r="AB17" s="9">
        <v>0</v>
      </c>
      <c r="AC17" s="9">
        <v>0</v>
      </c>
      <c r="AD17" s="12">
        <v>1</v>
      </c>
      <c r="AE17" s="12">
        <v>1</v>
      </c>
      <c r="AF17" s="9">
        <v>0</v>
      </c>
      <c r="AG17" s="6"/>
      <c r="AH17" s="6"/>
      <c r="AI17" s="60"/>
      <c r="AJ17" s="66"/>
      <c r="AK17" s="60"/>
      <c r="AL17" s="66"/>
      <c r="AM17" s="60"/>
      <c r="AN17" s="66"/>
      <c r="AO17" s="60"/>
      <c r="AP17" s="66"/>
      <c r="AQ17" s="61"/>
      <c r="AR17" s="55"/>
      <c r="AS17" s="61"/>
      <c r="AT17" s="61"/>
      <c r="AU17" s="61"/>
      <c r="AV17" s="61"/>
      <c r="AW17" s="60"/>
      <c r="AX17" s="55"/>
      <c r="AY17" s="21"/>
      <c r="AZ17" s="6"/>
      <c r="BA17" s="22"/>
      <c r="BB17" s="6"/>
      <c r="BC17" s="6"/>
      <c r="BD17" s="6"/>
      <c r="BE17" s="6"/>
      <c r="BF17" s="6"/>
      <c r="BG17" s="6"/>
      <c r="BL17" s="60"/>
    </row>
    <row r="18" spans="1:65" s="14" customFormat="1" ht="11.25" x14ac:dyDescent="0.2">
      <c r="A18" s="4">
        <v>60005010</v>
      </c>
      <c r="B18" s="15" t="s">
        <v>49</v>
      </c>
      <c r="C18" s="6" t="s">
        <v>79</v>
      </c>
      <c r="D18" s="7">
        <f t="shared" si="5"/>
        <v>0</v>
      </c>
      <c r="E18" s="7">
        <f t="shared" si="6"/>
        <v>0</v>
      </c>
      <c r="F18" s="9">
        <f t="shared" si="7"/>
        <v>0</v>
      </c>
      <c r="G18" s="9">
        <v>0</v>
      </c>
      <c r="H18" s="7">
        <v>0</v>
      </c>
      <c r="I18" s="9">
        <v>0</v>
      </c>
      <c r="J18" s="7">
        <v>0</v>
      </c>
      <c r="K18" s="9">
        <v>0</v>
      </c>
      <c r="L18" s="7">
        <v>0</v>
      </c>
      <c r="M18" s="9">
        <v>0</v>
      </c>
      <c r="N18" s="7">
        <v>0</v>
      </c>
      <c r="O18" s="9">
        <v>0</v>
      </c>
      <c r="P18" s="7">
        <v>0</v>
      </c>
      <c r="Q18" s="9">
        <v>0</v>
      </c>
      <c r="R18" s="7">
        <v>0</v>
      </c>
      <c r="S18" s="9">
        <v>0</v>
      </c>
      <c r="T18" s="7">
        <v>0</v>
      </c>
      <c r="U18" s="9">
        <v>0</v>
      </c>
      <c r="V18" s="7">
        <v>0</v>
      </c>
      <c r="W18" s="9">
        <v>0</v>
      </c>
      <c r="X18" s="7">
        <v>0</v>
      </c>
      <c r="Y18" s="9">
        <v>0</v>
      </c>
      <c r="Z18" s="7">
        <v>0</v>
      </c>
      <c r="AA18" s="9">
        <v>0</v>
      </c>
      <c r="AB18" s="9">
        <v>0</v>
      </c>
      <c r="AC18" s="9">
        <v>0</v>
      </c>
      <c r="AD18" s="12">
        <v>1</v>
      </c>
      <c r="AE18" s="12">
        <v>1</v>
      </c>
      <c r="AF18" s="9">
        <v>0</v>
      </c>
      <c r="AG18" s="6"/>
      <c r="AH18" s="6"/>
      <c r="AI18" s="60"/>
      <c r="AJ18" s="66"/>
      <c r="AK18" s="60"/>
      <c r="AL18" s="66"/>
      <c r="AM18" s="60"/>
      <c r="AN18" s="66"/>
      <c r="AO18" s="60"/>
      <c r="AP18" s="66"/>
      <c r="AQ18" s="61"/>
      <c r="AR18" s="55"/>
      <c r="AS18" s="61"/>
      <c r="AT18" s="61"/>
      <c r="AU18" s="61"/>
      <c r="AV18" s="61"/>
      <c r="AW18" s="60"/>
      <c r="AX18" s="55"/>
      <c r="AY18" s="21"/>
      <c r="AZ18" s="6"/>
      <c r="BA18" s="22"/>
      <c r="BB18" s="6"/>
      <c r="BC18" s="6"/>
      <c r="BD18" s="6"/>
      <c r="BE18" s="6"/>
      <c r="BF18" s="6"/>
      <c r="BG18" s="6"/>
      <c r="BL18" s="60"/>
    </row>
    <row r="19" spans="1:65" s="14" customFormat="1" ht="11.25" x14ac:dyDescent="0.2">
      <c r="A19" s="4">
        <v>60005010</v>
      </c>
      <c r="B19" s="15" t="s">
        <v>50</v>
      </c>
      <c r="C19" s="6" t="s">
        <v>79</v>
      </c>
      <c r="D19" s="7">
        <f t="shared" si="5"/>
        <v>0</v>
      </c>
      <c r="E19" s="7">
        <f t="shared" si="6"/>
        <v>0</v>
      </c>
      <c r="F19" s="9">
        <f t="shared" si="7"/>
        <v>0</v>
      </c>
      <c r="G19" s="9">
        <v>0</v>
      </c>
      <c r="H19" s="7">
        <v>0</v>
      </c>
      <c r="I19" s="9">
        <v>0</v>
      </c>
      <c r="J19" s="7">
        <v>0</v>
      </c>
      <c r="K19" s="9">
        <v>0</v>
      </c>
      <c r="L19" s="7">
        <v>0</v>
      </c>
      <c r="M19" s="9">
        <v>0</v>
      </c>
      <c r="N19" s="7">
        <v>0</v>
      </c>
      <c r="O19" s="9">
        <v>0</v>
      </c>
      <c r="P19" s="7">
        <v>0</v>
      </c>
      <c r="Q19" s="9">
        <v>0</v>
      </c>
      <c r="R19" s="7">
        <v>0</v>
      </c>
      <c r="S19" s="9">
        <v>0</v>
      </c>
      <c r="T19" s="7">
        <v>0</v>
      </c>
      <c r="U19" s="9">
        <v>0</v>
      </c>
      <c r="V19" s="7">
        <v>0</v>
      </c>
      <c r="W19" s="9">
        <v>0</v>
      </c>
      <c r="X19" s="7">
        <v>0</v>
      </c>
      <c r="Y19" s="9">
        <v>0</v>
      </c>
      <c r="Z19" s="7">
        <v>0</v>
      </c>
      <c r="AA19" s="9">
        <v>0</v>
      </c>
      <c r="AB19" s="9">
        <v>0</v>
      </c>
      <c r="AC19" s="9">
        <v>0</v>
      </c>
      <c r="AD19" s="12">
        <v>1</v>
      </c>
      <c r="AE19" s="12">
        <v>1</v>
      </c>
      <c r="AF19" s="9">
        <v>0</v>
      </c>
      <c r="AG19" s="6"/>
      <c r="AH19" s="6"/>
      <c r="AI19" s="60"/>
      <c r="AJ19" s="66"/>
      <c r="AK19" s="60"/>
      <c r="AL19" s="66"/>
      <c r="AM19" s="60"/>
      <c r="AN19" s="66"/>
      <c r="AO19" s="60"/>
      <c r="AP19" s="66"/>
      <c r="AQ19" s="61"/>
      <c r="AR19" s="55"/>
      <c r="AS19" s="61"/>
      <c r="AT19" s="61"/>
      <c r="AU19" s="61"/>
      <c r="AV19" s="61"/>
      <c r="AW19" s="60"/>
      <c r="AX19" s="55"/>
      <c r="AY19" s="21"/>
      <c r="AZ19" s="6"/>
      <c r="BA19" s="22"/>
      <c r="BB19" s="6"/>
      <c r="BC19" s="6"/>
      <c r="BD19" s="6"/>
      <c r="BE19" s="6"/>
      <c r="BF19" s="6"/>
      <c r="BG19" s="6"/>
      <c r="BL19" s="60"/>
    </row>
    <row r="20" spans="1:65" s="14" customFormat="1" ht="11.25" x14ac:dyDescent="0.2">
      <c r="A20" s="4">
        <v>60005010</v>
      </c>
      <c r="B20" s="15" t="s">
        <v>51</v>
      </c>
      <c r="C20" s="6" t="s">
        <v>79</v>
      </c>
      <c r="D20" s="7">
        <f t="shared" si="5"/>
        <v>0</v>
      </c>
      <c r="E20" s="7">
        <f t="shared" si="6"/>
        <v>0</v>
      </c>
      <c r="F20" s="9">
        <f t="shared" si="7"/>
        <v>0</v>
      </c>
      <c r="G20" s="9">
        <v>0</v>
      </c>
      <c r="H20" s="7">
        <v>0</v>
      </c>
      <c r="I20" s="9">
        <v>0</v>
      </c>
      <c r="J20" s="7">
        <v>0</v>
      </c>
      <c r="K20" s="9">
        <v>0</v>
      </c>
      <c r="L20" s="7">
        <v>0</v>
      </c>
      <c r="M20" s="9">
        <v>0</v>
      </c>
      <c r="N20" s="7">
        <v>0</v>
      </c>
      <c r="O20" s="9">
        <v>0</v>
      </c>
      <c r="P20" s="7">
        <v>0</v>
      </c>
      <c r="Q20" s="9">
        <v>0</v>
      </c>
      <c r="R20" s="7">
        <v>0</v>
      </c>
      <c r="S20" s="9">
        <v>0</v>
      </c>
      <c r="T20" s="7">
        <v>0</v>
      </c>
      <c r="U20" s="9">
        <v>0</v>
      </c>
      <c r="V20" s="7">
        <v>0</v>
      </c>
      <c r="W20" s="9">
        <v>0</v>
      </c>
      <c r="X20" s="7">
        <v>0</v>
      </c>
      <c r="Y20" s="9">
        <v>0</v>
      </c>
      <c r="Z20" s="7">
        <v>0</v>
      </c>
      <c r="AA20" s="9">
        <v>0</v>
      </c>
      <c r="AB20" s="9">
        <v>0</v>
      </c>
      <c r="AC20" s="9">
        <v>0</v>
      </c>
      <c r="AD20" s="12">
        <v>1</v>
      </c>
      <c r="AE20" s="12">
        <v>1</v>
      </c>
      <c r="AF20" s="9">
        <v>0</v>
      </c>
      <c r="AG20" s="6"/>
      <c r="AH20" s="6"/>
      <c r="AI20" s="60"/>
      <c r="AJ20" s="66"/>
      <c r="AK20" s="60"/>
      <c r="AL20" s="66"/>
      <c r="AM20" s="60"/>
      <c r="AN20" s="66"/>
      <c r="AO20" s="60"/>
      <c r="AP20" s="66"/>
      <c r="AQ20" s="61"/>
      <c r="AR20" s="55"/>
      <c r="AS20" s="61"/>
      <c r="AT20" s="61"/>
      <c r="AU20" s="61"/>
      <c r="AV20" s="61"/>
      <c r="AW20" s="60"/>
      <c r="AX20" s="55"/>
      <c r="AY20" s="21"/>
      <c r="AZ20" s="6"/>
      <c r="BA20" s="22"/>
      <c r="BB20" s="6"/>
      <c r="BC20" s="6"/>
      <c r="BD20" s="6"/>
      <c r="BE20" s="6"/>
      <c r="BF20" s="6"/>
      <c r="BG20" s="6"/>
      <c r="BL20" s="60"/>
    </row>
    <row r="21" spans="1:65" s="14" customFormat="1" ht="11.25" customHeight="1" x14ac:dyDescent="0.2">
      <c r="A21" s="4">
        <v>60005010</v>
      </c>
      <c r="B21" s="15" t="s">
        <v>52</v>
      </c>
      <c r="C21" s="6" t="s">
        <v>79</v>
      </c>
      <c r="D21" s="7">
        <f t="shared" si="5"/>
        <v>0</v>
      </c>
      <c r="E21" s="7">
        <f t="shared" si="6"/>
        <v>0</v>
      </c>
      <c r="F21" s="9">
        <f t="shared" si="7"/>
        <v>0</v>
      </c>
      <c r="G21" s="9">
        <v>0</v>
      </c>
      <c r="H21" s="7">
        <v>0</v>
      </c>
      <c r="I21" s="9">
        <v>0</v>
      </c>
      <c r="J21" s="7">
        <v>0</v>
      </c>
      <c r="K21" s="9">
        <v>0</v>
      </c>
      <c r="L21" s="7">
        <v>0</v>
      </c>
      <c r="M21" s="9">
        <v>0</v>
      </c>
      <c r="N21" s="7">
        <v>0</v>
      </c>
      <c r="O21" s="9">
        <v>0</v>
      </c>
      <c r="P21" s="7">
        <v>0</v>
      </c>
      <c r="Q21" s="9">
        <v>0</v>
      </c>
      <c r="R21" s="7">
        <v>0</v>
      </c>
      <c r="S21" s="9">
        <v>0</v>
      </c>
      <c r="T21" s="7">
        <v>0</v>
      </c>
      <c r="U21" s="9">
        <v>0</v>
      </c>
      <c r="V21" s="7">
        <v>0</v>
      </c>
      <c r="W21" s="9">
        <v>0</v>
      </c>
      <c r="X21" s="7">
        <v>0</v>
      </c>
      <c r="Y21" s="9">
        <v>0</v>
      </c>
      <c r="Z21" s="7">
        <v>0</v>
      </c>
      <c r="AA21" s="9">
        <v>0</v>
      </c>
      <c r="AB21" s="9">
        <v>0</v>
      </c>
      <c r="AC21" s="9">
        <v>0</v>
      </c>
      <c r="AD21" s="12">
        <v>1</v>
      </c>
      <c r="AE21" s="12">
        <v>1</v>
      </c>
      <c r="AF21" s="9">
        <v>0</v>
      </c>
      <c r="AG21" s="6"/>
      <c r="AH21" s="6"/>
      <c r="AI21" s="60"/>
      <c r="AJ21" s="66"/>
      <c r="AK21" s="60"/>
      <c r="AL21" s="66"/>
      <c r="AM21" s="60"/>
      <c r="AN21" s="66"/>
      <c r="AO21" s="60"/>
      <c r="AP21" s="66"/>
      <c r="AQ21" s="61"/>
      <c r="AR21" s="55"/>
      <c r="AS21" s="61"/>
      <c r="AT21" s="61"/>
      <c r="AU21" s="61"/>
      <c r="AV21" s="61"/>
      <c r="AW21" s="60"/>
      <c r="AX21" s="55"/>
      <c r="AY21" s="21"/>
      <c r="AZ21" s="6"/>
      <c r="BA21" s="22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1"/>
      <c r="BM21" s="6"/>
    </row>
    <row r="22" spans="1:65" s="14" customFormat="1" ht="11.25" customHeight="1" x14ac:dyDescent="0.2">
      <c r="A22" s="4">
        <v>60005010</v>
      </c>
      <c r="B22" s="15" t="s">
        <v>53</v>
      </c>
      <c r="C22" s="6" t="s">
        <v>79</v>
      </c>
      <c r="D22" s="7">
        <f t="shared" si="5"/>
        <v>0</v>
      </c>
      <c r="E22" s="7">
        <f t="shared" si="6"/>
        <v>0</v>
      </c>
      <c r="F22" s="9">
        <f t="shared" si="7"/>
        <v>0</v>
      </c>
      <c r="G22" s="9">
        <v>0</v>
      </c>
      <c r="H22" s="7">
        <v>0</v>
      </c>
      <c r="I22" s="9">
        <v>0</v>
      </c>
      <c r="J22" s="7">
        <v>0</v>
      </c>
      <c r="K22" s="9">
        <v>0</v>
      </c>
      <c r="L22" s="7">
        <v>0</v>
      </c>
      <c r="M22" s="9">
        <v>0</v>
      </c>
      <c r="N22" s="7">
        <v>0</v>
      </c>
      <c r="O22" s="9">
        <v>0</v>
      </c>
      <c r="P22" s="7">
        <v>0</v>
      </c>
      <c r="Q22" s="9">
        <v>0</v>
      </c>
      <c r="R22" s="7">
        <v>0</v>
      </c>
      <c r="S22" s="9">
        <v>0</v>
      </c>
      <c r="T22" s="7">
        <v>0</v>
      </c>
      <c r="U22" s="9">
        <v>0</v>
      </c>
      <c r="V22" s="7">
        <v>0</v>
      </c>
      <c r="W22" s="9">
        <v>0</v>
      </c>
      <c r="X22" s="7">
        <v>0</v>
      </c>
      <c r="Y22" s="9">
        <v>0</v>
      </c>
      <c r="Z22" s="7">
        <v>0</v>
      </c>
      <c r="AA22" s="9">
        <v>0</v>
      </c>
      <c r="AB22" s="9">
        <v>0</v>
      </c>
      <c r="AC22" s="9">
        <v>0</v>
      </c>
      <c r="AD22" s="12">
        <v>1</v>
      </c>
      <c r="AE22" s="12">
        <v>1</v>
      </c>
      <c r="AF22" s="9">
        <v>0</v>
      </c>
      <c r="AG22" s="6"/>
      <c r="AH22" s="6"/>
      <c r="AI22" s="60"/>
      <c r="AJ22" s="66"/>
      <c r="AK22" s="60"/>
      <c r="AL22" s="66"/>
      <c r="AM22" s="60"/>
      <c r="AN22" s="66"/>
      <c r="AO22" s="60"/>
      <c r="AP22" s="66"/>
      <c r="AQ22" s="61"/>
      <c r="AR22" s="55"/>
      <c r="AS22" s="61"/>
      <c r="AT22" s="61"/>
      <c r="AU22" s="61"/>
      <c r="AV22" s="61"/>
      <c r="AW22" s="60"/>
      <c r="AX22" s="55"/>
      <c r="AY22" s="21"/>
      <c r="AZ22" s="6"/>
      <c r="BA22" s="22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0"/>
    </row>
    <row r="23" spans="1:65" s="14" customFormat="1" ht="11.25" x14ac:dyDescent="0.2">
      <c r="A23" s="4">
        <v>60005010</v>
      </c>
      <c r="B23" s="15" t="s">
        <v>54</v>
      </c>
      <c r="C23" s="6" t="s">
        <v>79</v>
      </c>
      <c r="D23" s="7">
        <f t="shared" si="5"/>
        <v>0</v>
      </c>
      <c r="E23" s="7">
        <f t="shared" si="6"/>
        <v>0</v>
      </c>
      <c r="F23" s="9">
        <f t="shared" si="7"/>
        <v>0</v>
      </c>
      <c r="G23" s="9">
        <v>0</v>
      </c>
      <c r="H23" s="7">
        <v>0</v>
      </c>
      <c r="I23" s="9">
        <v>0</v>
      </c>
      <c r="J23" s="7">
        <v>0</v>
      </c>
      <c r="K23" s="9">
        <v>0</v>
      </c>
      <c r="L23" s="7">
        <v>0</v>
      </c>
      <c r="M23" s="9">
        <v>0</v>
      </c>
      <c r="N23" s="7">
        <v>0</v>
      </c>
      <c r="O23" s="9">
        <v>0</v>
      </c>
      <c r="P23" s="7">
        <v>0</v>
      </c>
      <c r="Q23" s="9">
        <v>0</v>
      </c>
      <c r="R23" s="7">
        <v>0</v>
      </c>
      <c r="S23" s="9">
        <v>0</v>
      </c>
      <c r="T23" s="7">
        <v>0</v>
      </c>
      <c r="U23" s="9">
        <v>0</v>
      </c>
      <c r="V23" s="7">
        <v>0</v>
      </c>
      <c r="W23" s="9">
        <v>0</v>
      </c>
      <c r="X23" s="7">
        <v>0</v>
      </c>
      <c r="Y23" s="9">
        <v>0</v>
      </c>
      <c r="Z23" s="7">
        <v>0</v>
      </c>
      <c r="AA23" s="9">
        <v>0</v>
      </c>
      <c r="AB23" s="9">
        <v>0</v>
      </c>
      <c r="AC23" s="9">
        <v>0</v>
      </c>
      <c r="AD23" s="12">
        <v>1</v>
      </c>
      <c r="AE23" s="12">
        <v>1</v>
      </c>
      <c r="AF23" s="9">
        <v>0</v>
      </c>
      <c r="AI23" s="60"/>
      <c r="AJ23" s="66"/>
      <c r="AK23" s="60"/>
      <c r="AL23" s="66"/>
      <c r="AM23" s="60"/>
      <c r="AN23" s="66"/>
      <c r="AO23" s="60"/>
      <c r="AP23" s="66"/>
      <c r="AQ23" s="60"/>
      <c r="AR23" s="57"/>
      <c r="AS23" s="60"/>
      <c r="AT23" s="60"/>
      <c r="AU23" s="60"/>
      <c r="AV23" s="60"/>
      <c r="AW23" s="60"/>
      <c r="AX23" s="57"/>
      <c r="AY23" s="51"/>
      <c r="BA23" s="4"/>
      <c r="BL23" s="60"/>
    </row>
    <row r="24" spans="1:65" s="14" customFormat="1" ht="11.25" x14ac:dyDescent="0.2">
      <c r="A24" s="4">
        <v>60005010</v>
      </c>
      <c r="B24" s="15" t="s">
        <v>55</v>
      </c>
      <c r="C24" s="6" t="s">
        <v>79</v>
      </c>
      <c r="D24" s="7">
        <f t="shared" si="5"/>
        <v>0</v>
      </c>
      <c r="E24" s="7">
        <f t="shared" si="6"/>
        <v>0</v>
      </c>
      <c r="F24" s="9">
        <f t="shared" si="7"/>
        <v>0</v>
      </c>
      <c r="G24" s="9">
        <v>0</v>
      </c>
      <c r="H24" s="7">
        <v>0</v>
      </c>
      <c r="I24" s="9">
        <v>0</v>
      </c>
      <c r="J24" s="7">
        <v>0</v>
      </c>
      <c r="K24" s="9">
        <v>0</v>
      </c>
      <c r="L24" s="7">
        <v>0</v>
      </c>
      <c r="M24" s="9">
        <v>0</v>
      </c>
      <c r="N24" s="7">
        <v>0</v>
      </c>
      <c r="O24" s="9">
        <v>0</v>
      </c>
      <c r="P24" s="7">
        <v>0</v>
      </c>
      <c r="Q24" s="9">
        <v>0</v>
      </c>
      <c r="R24" s="7">
        <v>0</v>
      </c>
      <c r="S24" s="9">
        <v>0</v>
      </c>
      <c r="T24" s="7">
        <v>0</v>
      </c>
      <c r="U24" s="9">
        <v>0</v>
      </c>
      <c r="V24" s="7">
        <v>0</v>
      </c>
      <c r="W24" s="9">
        <v>0</v>
      </c>
      <c r="X24" s="7">
        <v>0</v>
      </c>
      <c r="Y24" s="9">
        <v>0</v>
      </c>
      <c r="Z24" s="7">
        <v>0</v>
      </c>
      <c r="AA24" s="9">
        <v>0</v>
      </c>
      <c r="AB24" s="9">
        <v>0</v>
      </c>
      <c r="AC24" s="9">
        <v>0</v>
      </c>
      <c r="AD24" s="12">
        <v>1</v>
      </c>
      <c r="AE24" s="12">
        <v>1</v>
      </c>
      <c r="AF24" s="9">
        <v>0</v>
      </c>
      <c r="AI24" s="60"/>
      <c r="AJ24" s="66"/>
      <c r="AK24" s="60"/>
      <c r="AL24" s="66"/>
      <c r="AM24" s="60"/>
      <c r="AN24" s="66"/>
      <c r="AO24" s="60"/>
      <c r="AP24" s="66"/>
      <c r="AQ24" s="60"/>
      <c r="AR24" s="57"/>
      <c r="AS24" s="60"/>
      <c r="AT24" s="60"/>
      <c r="AU24" s="60"/>
      <c r="AV24" s="60"/>
      <c r="AW24" s="60"/>
      <c r="AX24" s="57"/>
      <c r="AY24" s="51"/>
      <c r="BA24" s="4"/>
      <c r="BL24" s="60"/>
    </row>
    <row r="25" spans="1:65" s="14" customFormat="1" ht="11.25" x14ac:dyDescent="0.2">
      <c r="A25" s="4"/>
      <c r="B25" s="20"/>
      <c r="C25" s="6"/>
      <c r="D25" s="7"/>
      <c r="E25" s="7"/>
      <c r="F25" s="21"/>
      <c r="G25" s="6"/>
      <c r="H25" s="21"/>
      <c r="I25" s="21"/>
      <c r="J25" s="7"/>
      <c r="K25" s="7"/>
      <c r="L25" s="21"/>
      <c r="M25" s="7"/>
      <c r="N25" s="21"/>
      <c r="O25" s="7"/>
      <c r="P25" s="21"/>
      <c r="Q25" s="7"/>
      <c r="R25" s="21"/>
      <c r="S25" s="7"/>
      <c r="T25" s="21"/>
      <c r="U25" s="21"/>
      <c r="V25" s="21"/>
      <c r="W25" s="21"/>
      <c r="X25" s="21"/>
      <c r="Y25" s="7"/>
      <c r="Z25" s="21"/>
      <c r="AA25" s="10"/>
      <c r="AB25" s="21"/>
      <c r="AC25" s="6"/>
      <c r="AD25" s="6"/>
      <c r="AE25" s="6"/>
      <c r="AF25" s="6"/>
      <c r="AI25" s="60"/>
      <c r="AJ25" s="66"/>
      <c r="AK25" s="60"/>
      <c r="AL25" s="66"/>
      <c r="AM25" s="60"/>
      <c r="AN25" s="66"/>
      <c r="AO25" s="60"/>
      <c r="AP25" s="66"/>
      <c r="AQ25" s="60"/>
      <c r="AR25" s="60"/>
      <c r="AS25" s="60"/>
      <c r="AT25" s="60"/>
      <c r="AU25" s="60"/>
      <c r="AV25" s="60"/>
      <c r="AW25" s="60"/>
      <c r="AX25" s="60"/>
      <c r="BA25" s="4"/>
      <c r="BL25" s="60"/>
    </row>
    <row r="26" spans="1:65" s="14" customFormat="1" ht="11.25" x14ac:dyDescent="0.2">
      <c r="A26" s="4"/>
      <c r="B26" s="20"/>
      <c r="C26" s="6"/>
      <c r="D26" s="124" t="s">
        <v>56</v>
      </c>
      <c r="E26" s="125"/>
      <c r="F26" s="125"/>
      <c r="G26" s="125"/>
      <c r="H26" s="125"/>
      <c r="I26" s="126"/>
      <c r="J26" s="127" t="s">
        <v>57</v>
      </c>
      <c r="K26" s="128"/>
      <c r="L26" s="128"/>
      <c r="M26" s="128"/>
      <c r="N26" s="129"/>
      <c r="O26" s="7"/>
      <c r="P26" s="21"/>
      <c r="Q26" s="7"/>
      <c r="R26" s="21"/>
      <c r="S26" s="21"/>
      <c r="T26" s="21"/>
      <c r="U26" s="9"/>
      <c r="V26" s="21"/>
      <c r="W26" s="7"/>
      <c r="X26" s="21"/>
      <c r="Y26" s="10"/>
      <c r="Z26" s="21"/>
      <c r="AA26" s="6"/>
      <c r="AB26" s="6"/>
      <c r="AC26" s="6"/>
      <c r="AD26" s="6"/>
      <c r="AE26" s="6"/>
      <c r="AF26" s="6"/>
      <c r="AI26" s="60"/>
      <c r="AJ26" s="66"/>
      <c r="AK26" s="60"/>
      <c r="AL26" s="66"/>
      <c r="AM26" s="60"/>
      <c r="AN26" s="66"/>
      <c r="AO26" s="60"/>
      <c r="AP26" s="66"/>
      <c r="AQ26" s="60"/>
      <c r="AR26" s="60"/>
      <c r="AS26" s="60"/>
      <c r="AT26" s="60"/>
      <c r="AU26" s="60"/>
      <c r="AV26" s="60"/>
      <c r="AW26" s="60"/>
      <c r="AX26" s="60"/>
      <c r="BA26" s="4"/>
      <c r="BL26" s="60"/>
    </row>
    <row r="27" spans="1:65" s="14" customFormat="1" ht="22.5" x14ac:dyDescent="0.2">
      <c r="A27" s="4"/>
      <c r="B27" s="22"/>
      <c r="C27" s="6"/>
      <c r="D27" s="23" t="s">
        <v>58</v>
      </c>
      <c r="E27" s="24" t="s">
        <v>59</v>
      </c>
      <c r="F27" s="24" t="s">
        <v>60</v>
      </c>
      <c r="G27" s="23" t="s">
        <v>61</v>
      </c>
      <c r="H27" s="24" t="s">
        <v>62</v>
      </c>
      <c r="I27" s="23" t="s">
        <v>63</v>
      </c>
      <c r="J27" s="23" t="s">
        <v>64</v>
      </c>
      <c r="K27" s="24" t="s">
        <v>65</v>
      </c>
      <c r="L27" s="23" t="s">
        <v>66</v>
      </c>
      <c r="M27" s="24" t="s">
        <v>67</v>
      </c>
      <c r="N27" s="23" t="s">
        <v>68</v>
      </c>
      <c r="O27" s="6"/>
      <c r="P27" s="6"/>
      <c r="Q27" s="6"/>
      <c r="R27" s="6"/>
      <c r="S27" s="6"/>
      <c r="T27" s="6"/>
      <c r="U27" s="9"/>
      <c r="V27" s="6"/>
      <c r="W27" s="6"/>
      <c r="X27" s="6"/>
      <c r="Y27" s="6"/>
      <c r="Z27" s="6"/>
      <c r="AA27" s="6"/>
      <c r="AI27" s="60"/>
      <c r="AJ27" s="66"/>
      <c r="AK27" s="60"/>
      <c r="AL27" s="66"/>
      <c r="AM27" s="60"/>
      <c r="AN27" s="66"/>
      <c r="AO27" s="60"/>
      <c r="AP27" s="66"/>
      <c r="AQ27" s="60"/>
      <c r="AR27" s="60"/>
      <c r="AS27" s="60"/>
      <c r="AT27" s="60"/>
      <c r="AU27" s="60"/>
      <c r="AV27" s="60"/>
      <c r="AW27" s="60"/>
      <c r="AX27" s="60"/>
      <c r="BA27" s="4"/>
      <c r="BL27" s="60"/>
    </row>
    <row r="28" spans="1:65" s="14" customFormat="1" ht="11.25" x14ac:dyDescent="0.2">
      <c r="A28" s="4">
        <f t="shared" ref="A28:C43" si="40">A2</f>
        <v>60005010</v>
      </c>
      <c r="B28" s="4" t="str">
        <f t="shared" si="40"/>
        <v xml:space="preserve"> 2002-03</v>
      </c>
      <c r="C28" s="14" t="str">
        <f t="shared" si="40"/>
        <v>WCU</v>
      </c>
      <c r="D28" s="25"/>
      <c r="E28" s="26">
        <f t="shared" ref="E28:E50" si="41">IF(AA2=0,0,E2/AA2)</f>
        <v>1.136282143054264</v>
      </c>
      <c r="F28" s="26">
        <f t="shared" ref="F28:F50" si="42">IF(F2=0,0,E2/(F2/1000000))</f>
        <v>6.3620696956746494</v>
      </c>
      <c r="G28" s="27"/>
      <c r="H28" s="28">
        <f t="shared" ref="H28:H50" si="43">IF(AA2=0,0,F2/AA2)</f>
        <v>178602.59277366652</v>
      </c>
      <c r="I28" s="27"/>
      <c r="J28" s="29"/>
      <c r="K28" s="30">
        <f t="shared" ref="K28:K50" si="44">IF(Y2=0,0,Z2/Y2)</f>
        <v>3.2730386052303859</v>
      </c>
      <c r="L28" s="29"/>
      <c r="M28" s="31">
        <f t="shared" ref="M28:M50" si="45">IF(AA2=0,0,(Y2*1000)/AA2)</f>
        <v>51.821188538336457</v>
      </c>
      <c r="N28" s="29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I28" s="60"/>
      <c r="AJ28" s="66"/>
      <c r="AK28" s="60"/>
      <c r="AL28" s="66"/>
      <c r="AM28" s="60"/>
      <c r="AN28" s="66"/>
      <c r="AO28" s="60"/>
      <c r="AP28" s="66"/>
      <c r="AQ28" s="60"/>
      <c r="AR28" s="60"/>
      <c r="AS28" s="60"/>
      <c r="AT28" s="60"/>
      <c r="AU28" s="60"/>
      <c r="AV28" s="60"/>
      <c r="AW28" s="60"/>
      <c r="AX28" s="60"/>
      <c r="BA28" s="4"/>
      <c r="BL28" s="60"/>
    </row>
    <row r="29" spans="1:65" s="14" customFormat="1" ht="11.25" x14ac:dyDescent="0.2">
      <c r="A29" s="4">
        <f t="shared" si="40"/>
        <v>60005010</v>
      </c>
      <c r="B29" s="4" t="str">
        <f t="shared" si="40"/>
        <v xml:space="preserve"> 2003-04</v>
      </c>
      <c r="C29" s="14" t="str">
        <f t="shared" si="40"/>
        <v>WCU</v>
      </c>
      <c r="D29" s="32">
        <f t="shared" ref="D29:D50" si="46">($H$28-H29)*F29*(AA3/1000000)</f>
        <v>910203.6501550281</v>
      </c>
      <c r="E29" s="26">
        <f t="shared" si="41"/>
        <v>1.2553749877936426</v>
      </c>
      <c r="F29" s="26">
        <f t="shared" si="42"/>
        <v>9.1925832437496044</v>
      </c>
      <c r="G29" s="33">
        <f>IF(F29=0,0,(F29/$F$28)-1)</f>
        <v>0.4449045174716213</v>
      </c>
      <c r="H29" s="28">
        <f t="shared" si="43"/>
        <v>136563.89662255396</v>
      </c>
      <c r="I29" s="34">
        <f>IF(H29=0,0,(H29/$H$28)-1)</f>
        <v>-0.23537562080291818</v>
      </c>
      <c r="J29" s="35">
        <f t="shared" ref="J29:J50" si="47">($M$28-M29)*K29*(AA3/1000)</f>
        <v>18863.531297802328</v>
      </c>
      <c r="K29" s="30">
        <f t="shared" si="44"/>
        <v>2.9729757758553639</v>
      </c>
      <c r="L29" s="33">
        <f>IF(K29=0,0,(K29/$K$28)-1)</f>
        <v>-9.1677143341821643E-2</v>
      </c>
      <c r="M29" s="31">
        <f t="shared" si="45"/>
        <v>49.127298510187529</v>
      </c>
      <c r="N29" s="33">
        <f>IF(M29=0,0,(M29/$M$28)-1)</f>
        <v>-5.1984335059317099E-2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I29" s="60"/>
      <c r="AJ29" s="66"/>
      <c r="AK29" s="60"/>
      <c r="AL29" s="66"/>
      <c r="AM29" s="60"/>
      <c r="AN29" s="66"/>
      <c r="AO29" s="60"/>
      <c r="AP29" s="66"/>
      <c r="AQ29" s="60"/>
      <c r="AR29" s="60"/>
      <c r="AS29" s="60"/>
      <c r="AT29" s="60"/>
      <c r="AU29" s="60"/>
      <c r="AV29" s="60"/>
      <c r="AW29" s="60"/>
      <c r="AX29" s="60"/>
      <c r="BA29" s="4"/>
      <c r="BL29" s="60"/>
    </row>
    <row r="30" spans="1:65" s="14" customFormat="1" ht="11.25" x14ac:dyDescent="0.2">
      <c r="A30" s="4">
        <f t="shared" si="40"/>
        <v>60005010</v>
      </c>
      <c r="B30" s="4" t="str">
        <f t="shared" si="40"/>
        <v xml:space="preserve"> 2004-05</v>
      </c>
      <c r="C30" s="14" t="str">
        <f t="shared" si="40"/>
        <v>WCU</v>
      </c>
      <c r="D30" s="32">
        <f t="shared" si="46"/>
        <v>1277351.0706066135</v>
      </c>
      <c r="E30" s="26">
        <f t="shared" si="41"/>
        <v>1.2466272560724267</v>
      </c>
      <c r="F30" s="26">
        <f t="shared" si="42"/>
        <v>9.5956960181695603</v>
      </c>
      <c r="G30" s="33">
        <f t="shared" ref="G30:G50" si="48">IF(F30=0,0,(F30/$F$28)-1)</f>
        <v>0.50826640970207237</v>
      </c>
      <c r="H30" s="28">
        <f t="shared" si="43"/>
        <v>129915.25093249348</v>
      </c>
      <c r="I30" s="34">
        <f t="shared" ref="I30:I50" si="49">IF(H30=0,0,(H30/$H$28)-1)</f>
        <v>-0.27260154001723758</v>
      </c>
      <c r="J30" s="35">
        <f t="shared" si="47"/>
        <v>31951.334891255647</v>
      </c>
      <c r="K30" s="30">
        <f t="shared" si="44"/>
        <v>2.980979941511984</v>
      </c>
      <c r="L30" s="33">
        <f t="shared" ref="L30:L50" si="50">IF(K30=0,0,(K30/$K$28)-1)</f>
        <v>-8.9231658695282712E-2</v>
      </c>
      <c r="M30" s="31">
        <f t="shared" si="45"/>
        <v>47.900952445045412</v>
      </c>
      <c r="N30" s="33">
        <f t="shared" ref="N30:N50" si="51">IF(M30=0,0,(M30/$M$28)-1)</f>
        <v>-7.5649289486884652E-2</v>
      </c>
      <c r="O30" s="6"/>
      <c r="P30" s="6"/>
      <c r="Q30" s="6"/>
      <c r="R30" s="6"/>
      <c r="S30" s="6"/>
      <c r="T30" s="6"/>
      <c r="U30" s="6"/>
      <c r="V30" s="6"/>
      <c r="W30" s="6"/>
      <c r="X30" s="6"/>
      <c r="Z30" s="6"/>
      <c r="AA30" s="6"/>
      <c r="AI30" s="60"/>
      <c r="AJ30" s="66"/>
      <c r="AK30" s="60"/>
      <c r="AL30" s="66"/>
      <c r="AM30" s="60"/>
      <c r="AN30" s="66"/>
      <c r="AO30" s="60"/>
      <c r="AP30" s="66"/>
      <c r="AQ30" s="60"/>
      <c r="AR30" s="60"/>
      <c r="AS30" s="60"/>
      <c r="AT30" s="60"/>
      <c r="AU30" s="60"/>
      <c r="AV30" s="60"/>
      <c r="AW30" s="60"/>
      <c r="AX30" s="60"/>
      <c r="BA30" s="4"/>
      <c r="BL30" s="60"/>
    </row>
    <row r="31" spans="1:65" s="14" customFormat="1" ht="11.25" x14ac:dyDescent="0.2">
      <c r="A31" s="4">
        <f t="shared" si="40"/>
        <v>60005010</v>
      </c>
      <c r="B31" s="4" t="str">
        <f t="shared" si="40"/>
        <v>2005-06</v>
      </c>
      <c r="C31" s="14" t="str">
        <f t="shared" si="40"/>
        <v>WCU</v>
      </c>
      <c r="D31" s="32">
        <f t="shared" si="46"/>
        <v>2191110.0264938013</v>
      </c>
      <c r="E31" s="26">
        <f t="shared" si="41"/>
        <v>1.4859499634434614</v>
      </c>
      <c r="F31" s="26">
        <f t="shared" si="42"/>
        <v>12.806894955323768</v>
      </c>
      <c r="G31" s="33">
        <f t="shared" si="48"/>
        <v>1.0130076481291508</v>
      </c>
      <c r="H31" s="28">
        <f t="shared" si="43"/>
        <v>116027.34063386369</v>
      </c>
      <c r="I31" s="34">
        <f t="shared" si="49"/>
        <v>-0.35036026727283343</v>
      </c>
      <c r="J31" s="35">
        <f t="shared" si="47"/>
        <v>59161.073620367853</v>
      </c>
      <c r="K31" s="30">
        <f t="shared" si="44"/>
        <v>2.692395081529003</v>
      </c>
      <c r="L31" s="33">
        <f t="shared" si="50"/>
        <v>-0.17740197832482085</v>
      </c>
      <c r="M31" s="31">
        <f t="shared" si="45"/>
        <v>43.784455772074459</v>
      </c>
      <c r="N31" s="33">
        <f t="shared" si="51"/>
        <v>-0.15508584409090809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I31" s="60"/>
      <c r="AJ31" s="66"/>
      <c r="AK31" s="60"/>
      <c r="AL31" s="66"/>
      <c r="AM31" s="60"/>
      <c r="AN31" s="66"/>
      <c r="AO31" s="60"/>
      <c r="AP31" s="66"/>
      <c r="AQ31" s="60"/>
      <c r="AR31" s="60"/>
      <c r="AS31" s="60"/>
      <c r="AT31" s="60"/>
      <c r="AU31" s="60"/>
      <c r="AV31" s="60"/>
      <c r="AW31" s="60"/>
      <c r="AX31" s="60"/>
      <c r="BA31" s="4"/>
      <c r="BL31" s="60"/>
    </row>
    <row r="32" spans="1:65" s="14" customFormat="1" ht="11.25" x14ac:dyDescent="0.2">
      <c r="A32" s="4">
        <f t="shared" si="40"/>
        <v>60005010</v>
      </c>
      <c r="B32" s="4" t="str">
        <f t="shared" si="40"/>
        <v xml:space="preserve"> 2006-07</v>
      </c>
      <c r="C32" s="14" t="str">
        <f t="shared" si="40"/>
        <v>WCU</v>
      </c>
      <c r="D32" s="32">
        <f t="shared" si="46"/>
        <v>1843858.137148893</v>
      </c>
      <c r="E32" s="26">
        <f t="shared" si="41"/>
        <v>1.4348143535628219</v>
      </c>
      <c r="F32" s="26">
        <f t="shared" si="42"/>
        <v>11.664471325742749</v>
      </c>
      <c r="G32" s="33">
        <f t="shared" si="48"/>
        <v>0.83343972696071189</v>
      </c>
      <c r="H32" s="28">
        <f t="shared" si="43"/>
        <v>123007.23397521478</v>
      </c>
      <c r="I32" s="34">
        <f t="shared" si="49"/>
        <v>-0.31127968488623647</v>
      </c>
      <c r="J32" s="35">
        <f t="shared" si="47"/>
        <v>88592.416844918713</v>
      </c>
      <c r="K32" s="30">
        <f t="shared" si="44"/>
        <v>2.8036817141129209</v>
      </c>
      <c r="L32" s="33">
        <f t="shared" si="50"/>
        <v>-0.14340096397501167</v>
      </c>
      <c r="M32" s="31">
        <f t="shared" si="45"/>
        <v>40.707865626938762</v>
      </c>
      <c r="N32" s="33">
        <f t="shared" si="51"/>
        <v>-0.21445519149326808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I32" s="60"/>
      <c r="AJ32" s="66"/>
      <c r="AK32" s="60"/>
      <c r="AL32" s="66"/>
      <c r="AM32" s="60"/>
      <c r="AN32" s="66"/>
      <c r="AO32" s="60"/>
      <c r="AP32" s="66"/>
      <c r="AQ32" s="60"/>
      <c r="AR32" s="60"/>
      <c r="AS32" s="60"/>
      <c r="AT32" s="60"/>
      <c r="AU32" s="60"/>
      <c r="AV32" s="60"/>
      <c r="AW32" s="60"/>
      <c r="AX32" s="60"/>
      <c r="BA32" s="4"/>
      <c r="BL32" s="60"/>
    </row>
    <row r="33" spans="1:64" s="14" customFormat="1" ht="11.25" x14ac:dyDescent="0.2">
      <c r="A33" s="4">
        <f t="shared" si="40"/>
        <v>60005010</v>
      </c>
      <c r="B33" s="4" t="str">
        <f t="shared" si="40"/>
        <v xml:space="preserve"> 2007-08</v>
      </c>
      <c r="C33" s="14" t="str">
        <f t="shared" si="40"/>
        <v>WCU</v>
      </c>
      <c r="D33" s="32">
        <f t="shared" si="46"/>
        <v>1872201.5589075168</v>
      </c>
      <c r="E33" s="26">
        <f t="shared" si="41"/>
        <v>1.6322938752284781</v>
      </c>
      <c r="F33" s="26">
        <f t="shared" si="42"/>
        <v>12.895410567700505</v>
      </c>
      <c r="G33" s="33">
        <f t="shared" si="48"/>
        <v>1.0269206696159974</v>
      </c>
      <c r="H33" s="28">
        <f t="shared" si="43"/>
        <v>126579.44209368022</v>
      </c>
      <c r="I33" s="34">
        <f t="shared" si="49"/>
        <v>-0.29127880996617139</v>
      </c>
      <c r="J33" s="35">
        <f t="shared" si="47"/>
        <v>91451.975200294168</v>
      </c>
      <c r="K33" s="30">
        <f t="shared" si="44"/>
        <v>2.8654919480058556</v>
      </c>
      <c r="L33" s="33">
        <f t="shared" si="50"/>
        <v>-0.12451630010512615</v>
      </c>
      <c r="M33" s="31">
        <f t="shared" si="45"/>
        <v>40.385215581910089</v>
      </c>
      <c r="N33" s="33">
        <f t="shared" si="51"/>
        <v>-0.22068141003686603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I33" s="60"/>
      <c r="AJ33" s="66"/>
      <c r="AK33" s="60"/>
      <c r="AL33" s="66"/>
      <c r="AM33" s="60"/>
      <c r="AN33" s="66"/>
      <c r="AO33" s="60"/>
      <c r="AP33" s="66"/>
      <c r="AQ33" s="60"/>
      <c r="AR33" s="60"/>
      <c r="AS33" s="60"/>
      <c r="AT33" s="60"/>
      <c r="AU33" s="60"/>
      <c r="AV33" s="60"/>
      <c r="AW33" s="60"/>
      <c r="AX33" s="60"/>
      <c r="BA33" s="4"/>
      <c r="BL33" s="60"/>
    </row>
    <row r="34" spans="1:64" s="14" customFormat="1" ht="11.25" x14ac:dyDescent="0.2">
      <c r="A34" s="4">
        <f t="shared" si="40"/>
        <v>60005010</v>
      </c>
      <c r="B34" s="4" t="str">
        <f t="shared" si="40"/>
        <v>2008-09</v>
      </c>
      <c r="C34" s="14" t="str">
        <f t="shared" si="40"/>
        <v>WCU</v>
      </c>
      <c r="D34" s="32">
        <f t="shared" si="46"/>
        <v>1747743.0997069452</v>
      </c>
      <c r="E34" s="26">
        <f t="shared" si="41"/>
        <v>1.4191949507480754</v>
      </c>
      <c r="F34" s="26">
        <f t="shared" si="42"/>
        <v>11.362944299598764</v>
      </c>
      <c r="G34" s="33">
        <f t="shared" si="48"/>
        <v>0.78604524048581803</v>
      </c>
      <c r="H34" s="28">
        <f t="shared" si="43"/>
        <v>124896.76208288626</v>
      </c>
      <c r="I34" s="34">
        <f t="shared" si="49"/>
        <v>-0.3007001738146029</v>
      </c>
      <c r="J34" s="35">
        <f t="shared" si="47"/>
        <v>136261.24738885849</v>
      </c>
      <c r="K34" s="30">
        <f t="shared" si="44"/>
        <v>3.1</v>
      </c>
      <c r="L34" s="33">
        <f t="shared" si="50"/>
        <v>-5.2867877865499846E-2</v>
      </c>
      <c r="M34" s="31">
        <f t="shared" si="45"/>
        <v>36.473414854803629</v>
      </c>
      <c r="N34" s="33">
        <f t="shared" si="51"/>
        <v>-0.2961679212003947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I34" s="60"/>
      <c r="AJ34" s="66"/>
      <c r="AK34" s="60"/>
      <c r="AL34" s="66"/>
      <c r="AM34" s="60"/>
      <c r="AN34" s="66"/>
      <c r="AO34" s="60"/>
      <c r="AP34" s="66"/>
      <c r="AQ34" s="60"/>
      <c r="AR34" s="60"/>
      <c r="AS34" s="60"/>
      <c r="AT34" s="60"/>
      <c r="AU34" s="60"/>
      <c r="AV34" s="60"/>
      <c r="AW34" s="60"/>
      <c r="AX34" s="60"/>
      <c r="BA34" s="4"/>
      <c r="BL34" s="60"/>
    </row>
    <row r="35" spans="1:64" s="14" customFormat="1" ht="11.25" x14ac:dyDescent="0.2">
      <c r="A35" s="4">
        <f t="shared" si="40"/>
        <v>60005010</v>
      </c>
      <c r="B35" s="4" t="str">
        <f t="shared" si="40"/>
        <v>2009-10</v>
      </c>
      <c r="C35" s="14" t="str">
        <f t="shared" si="40"/>
        <v>WCU</v>
      </c>
      <c r="D35" s="32">
        <f t="shared" si="46"/>
        <v>1972725.4151736449</v>
      </c>
      <c r="E35" s="26">
        <f t="shared" si="41"/>
        <v>1.3874956001294774</v>
      </c>
      <c r="F35" s="26">
        <f t="shared" si="42"/>
        <v>11.714867457574567</v>
      </c>
      <c r="G35" s="33">
        <f t="shared" si="48"/>
        <v>0.84136106926635823</v>
      </c>
      <c r="H35" s="28">
        <f t="shared" si="43"/>
        <v>118438.8645585874</v>
      </c>
      <c r="I35" s="34">
        <f t="shared" si="49"/>
        <v>-0.33685808968810094</v>
      </c>
      <c r="J35" s="35">
        <f t="shared" si="47"/>
        <v>158778.06834526596</v>
      </c>
      <c r="K35" s="30">
        <f t="shared" si="44"/>
        <v>3.1892939323955485</v>
      </c>
      <c r="L35" s="33">
        <f t="shared" si="50"/>
        <v>-2.5586216032102871E-2</v>
      </c>
      <c r="M35" s="31">
        <f t="shared" si="45"/>
        <v>34.034240031783391</v>
      </c>
      <c r="N35" s="33">
        <f t="shared" si="51"/>
        <v>-0.34323698487530008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I35" s="60"/>
      <c r="AJ35" s="66"/>
      <c r="AK35" s="60"/>
      <c r="AL35" s="66"/>
      <c r="AM35" s="60"/>
      <c r="AN35" s="66"/>
      <c r="AO35" s="60"/>
      <c r="AP35" s="66"/>
      <c r="AQ35" s="60"/>
      <c r="AR35" s="60"/>
      <c r="AS35" s="60"/>
      <c r="AT35" s="60"/>
      <c r="AU35" s="60"/>
      <c r="AV35" s="60"/>
      <c r="AW35" s="60"/>
      <c r="AX35" s="60"/>
      <c r="BA35" s="4"/>
      <c r="BL35" s="60"/>
    </row>
    <row r="36" spans="1:64" s="14" customFormat="1" ht="11.25" x14ac:dyDescent="0.2">
      <c r="A36" s="4">
        <f t="shared" si="40"/>
        <v>60005010</v>
      </c>
      <c r="B36" s="4" t="str">
        <f t="shared" si="40"/>
        <v>2010-11</v>
      </c>
      <c r="C36" s="14" t="str">
        <f t="shared" si="40"/>
        <v>WCU</v>
      </c>
      <c r="D36" s="32">
        <f t="shared" si="46"/>
        <v>1807292.0193794155</v>
      </c>
      <c r="E36" s="26">
        <f t="shared" si="41"/>
        <v>1.3299820556823443</v>
      </c>
      <c r="F36" s="26">
        <f t="shared" si="42"/>
        <v>10.922476552134762</v>
      </c>
      <c r="G36" s="33">
        <f t="shared" si="48"/>
        <v>0.71681183555102757</v>
      </c>
      <c r="H36" s="28">
        <f t="shared" si="43"/>
        <v>121765.61325942179</v>
      </c>
      <c r="I36" s="34">
        <f t="shared" si="49"/>
        <v>-0.31823154765883599</v>
      </c>
      <c r="J36" s="35">
        <f t="shared" si="47"/>
        <v>172632.9184860914</v>
      </c>
      <c r="K36" s="30">
        <f t="shared" si="44"/>
        <v>3.1574208841019669</v>
      </c>
      <c r="L36" s="33">
        <f t="shared" si="50"/>
        <v>-3.5324276635069207E-2</v>
      </c>
      <c r="M36" s="31">
        <f t="shared" si="45"/>
        <v>33.040352730875078</v>
      </c>
      <c r="N36" s="33">
        <f t="shared" si="51"/>
        <v>-0.36241615326070009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I36" s="60"/>
      <c r="AJ36" s="66"/>
      <c r="AK36" s="60"/>
      <c r="AL36" s="66"/>
      <c r="AM36" s="60"/>
      <c r="AN36" s="66"/>
      <c r="AO36" s="60"/>
      <c r="AP36" s="66"/>
      <c r="AQ36" s="60"/>
      <c r="AR36" s="60"/>
      <c r="AS36" s="60"/>
      <c r="AT36" s="60"/>
      <c r="AU36" s="60"/>
      <c r="AV36" s="60"/>
      <c r="AW36" s="60"/>
      <c r="AX36" s="60"/>
      <c r="BA36" s="4"/>
      <c r="BL36" s="60"/>
    </row>
    <row r="37" spans="1:64" s="14" customFormat="1" ht="11.25" x14ac:dyDescent="0.2">
      <c r="A37" s="4">
        <f t="shared" si="40"/>
        <v>60005010</v>
      </c>
      <c r="B37" s="4" t="str">
        <f t="shared" si="40"/>
        <v>2011-12</v>
      </c>
      <c r="C37" s="14" t="str">
        <f t="shared" si="40"/>
        <v>WCU</v>
      </c>
      <c r="D37" s="32">
        <f t="shared" si="46"/>
        <v>2117159.5716085769</v>
      </c>
      <c r="E37" s="26">
        <f t="shared" si="41"/>
        <v>1.3386983241584749</v>
      </c>
      <c r="F37" s="26">
        <f t="shared" si="42"/>
        <v>11.507169367426698</v>
      </c>
      <c r="G37" s="33">
        <f t="shared" si="48"/>
        <v>0.80871476074052184</v>
      </c>
      <c r="H37" s="28">
        <f t="shared" si="43"/>
        <v>116336.0233445354</v>
      </c>
      <c r="I37" s="34">
        <f t="shared" si="49"/>
        <v>-0.34863194571894152</v>
      </c>
      <c r="J37" s="35">
        <f t="shared" si="47"/>
        <v>154129.90590654471</v>
      </c>
      <c r="K37" s="30">
        <f t="shared" si="44"/>
        <v>3.210974591185396</v>
      </c>
      <c r="L37" s="33">
        <f t="shared" si="50"/>
        <v>-1.8962200429231246E-2</v>
      </c>
      <c r="M37" s="31">
        <f t="shared" si="45"/>
        <v>35.576181783354215</v>
      </c>
      <c r="N37" s="33">
        <f t="shared" si="51"/>
        <v>-0.31348194075024838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I37" s="60"/>
      <c r="AJ37" s="66"/>
      <c r="AK37" s="60"/>
      <c r="AL37" s="66"/>
      <c r="AM37" s="60"/>
      <c r="AN37" s="66"/>
      <c r="AO37" s="60"/>
      <c r="AP37" s="66"/>
      <c r="AQ37" s="60"/>
      <c r="AR37" s="60"/>
      <c r="AS37" s="60"/>
      <c r="AT37" s="60"/>
      <c r="AU37" s="60"/>
      <c r="AV37" s="60"/>
      <c r="AW37" s="60"/>
      <c r="AX37" s="60"/>
      <c r="BA37" s="4"/>
      <c r="BL37" s="60"/>
    </row>
    <row r="38" spans="1:64" s="14" customFormat="1" ht="11.25" x14ac:dyDescent="0.2">
      <c r="A38" s="4">
        <f t="shared" si="40"/>
        <v>60005010</v>
      </c>
      <c r="B38" s="4" t="str">
        <f t="shared" si="40"/>
        <v>2012-13</v>
      </c>
      <c r="C38" s="14" t="str">
        <f t="shared" si="40"/>
        <v>WCU</v>
      </c>
      <c r="D38" s="32">
        <f t="shared" si="46"/>
        <v>2268189.2529313252</v>
      </c>
      <c r="E38" s="26">
        <f t="shared" si="41"/>
        <v>1.3738469984910826</v>
      </c>
      <c r="F38" s="26">
        <f t="shared" si="42"/>
        <v>11.781554506941113</v>
      </c>
      <c r="G38" s="33">
        <f t="shared" si="48"/>
        <v>0.85184304330255656</v>
      </c>
      <c r="H38" s="28">
        <f t="shared" si="43"/>
        <v>116609.99384093835</v>
      </c>
      <c r="I38" s="34">
        <f t="shared" si="49"/>
        <v>-0.34709797864630143</v>
      </c>
      <c r="J38" s="35">
        <f t="shared" si="47"/>
        <v>199645.99764687967</v>
      </c>
      <c r="K38" s="30">
        <f t="shared" si="44"/>
        <v>3.1388703548178092</v>
      </c>
      <c r="L38" s="33">
        <f t="shared" si="50"/>
        <v>-4.0991954753657023E-2</v>
      </c>
      <c r="M38" s="31">
        <f t="shared" si="45"/>
        <v>31.340225107533701</v>
      </c>
      <c r="N38" s="33">
        <f t="shared" si="51"/>
        <v>-0.39522373007039924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I38" s="60"/>
      <c r="AJ38" s="66"/>
      <c r="AK38" s="60"/>
      <c r="AL38" s="66"/>
      <c r="AM38" s="60"/>
      <c r="AN38" s="66"/>
      <c r="AO38" s="60"/>
      <c r="AP38" s="66"/>
      <c r="AQ38" s="60"/>
      <c r="AR38" s="60"/>
      <c r="AS38" s="60"/>
      <c r="AT38" s="60"/>
      <c r="AU38" s="60"/>
      <c r="AV38" s="60"/>
      <c r="AW38" s="60"/>
      <c r="AX38" s="60"/>
      <c r="BA38" s="4"/>
      <c r="BL38" s="60"/>
    </row>
    <row r="39" spans="1:64" s="14" customFormat="1" ht="11.25" x14ac:dyDescent="0.2">
      <c r="A39" s="4">
        <f t="shared" si="40"/>
        <v>60005010</v>
      </c>
      <c r="B39" s="4" t="str">
        <f t="shared" si="40"/>
        <v>2013-14</v>
      </c>
      <c r="C39" s="14" t="str">
        <f t="shared" si="40"/>
        <v>WCU</v>
      </c>
      <c r="D39" s="32">
        <f t="shared" si="46"/>
        <v>2283735.8442508187</v>
      </c>
      <c r="E39" s="26">
        <f t="shared" si="41"/>
        <v>1.4776294353266457</v>
      </c>
      <c r="F39" s="26">
        <f t="shared" si="42"/>
        <v>12.393752758505508</v>
      </c>
      <c r="G39" s="33">
        <f t="shared" si="48"/>
        <v>0.94806931570265429</v>
      </c>
      <c r="H39" s="28">
        <f t="shared" si="43"/>
        <v>119223.73022267909</v>
      </c>
      <c r="I39" s="34">
        <f t="shared" si="49"/>
        <v>-0.33246360889192172</v>
      </c>
      <c r="J39" s="35">
        <f t="shared" si="47"/>
        <v>219062.63312673813</v>
      </c>
      <c r="K39" s="30">
        <f t="shared" si="44"/>
        <v>3.396528925619835</v>
      </c>
      <c r="L39" s="33">
        <f t="shared" si="50"/>
        <v>3.7729564262428461E-2</v>
      </c>
      <c r="M39" s="31">
        <f t="shared" si="45"/>
        <v>31.037538548793023</v>
      </c>
      <c r="N39" s="33">
        <f t="shared" si="51"/>
        <v>-0.40106471070550676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I39" s="60"/>
      <c r="AJ39" s="66"/>
      <c r="AK39" s="60"/>
      <c r="AL39" s="66"/>
      <c r="AM39" s="60"/>
      <c r="AN39" s="66"/>
      <c r="AO39" s="60"/>
      <c r="AP39" s="66"/>
      <c r="AQ39" s="60"/>
      <c r="AR39" s="60"/>
      <c r="AS39" s="60"/>
      <c r="AT39" s="60"/>
      <c r="AU39" s="60"/>
      <c r="AV39" s="60"/>
      <c r="AW39" s="60"/>
      <c r="AX39" s="60"/>
      <c r="BA39" s="4"/>
      <c r="BL39" s="60"/>
    </row>
    <row r="40" spans="1:64" s="14" customFormat="1" ht="11.25" x14ac:dyDescent="0.2">
      <c r="A40" s="4">
        <f t="shared" si="40"/>
        <v>60005010</v>
      </c>
      <c r="B40" s="4" t="str">
        <f t="shared" si="40"/>
        <v>2014-15</v>
      </c>
      <c r="C40" s="14" t="str">
        <f t="shared" si="40"/>
        <v>WCU</v>
      </c>
      <c r="D40" s="32">
        <f t="shared" si="46"/>
        <v>2207555.6284578089</v>
      </c>
      <c r="E40" s="26">
        <f t="shared" si="41"/>
        <v>1.3899617235056603</v>
      </c>
      <c r="F40" s="26">
        <f t="shared" si="42"/>
        <v>11.765449701388002</v>
      </c>
      <c r="G40" s="33">
        <f t="shared" si="48"/>
        <v>0.84931166494245147</v>
      </c>
      <c r="H40" s="28">
        <f t="shared" si="43"/>
        <v>118139.27718731249</v>
      </c>
      <c r="I40" s="34">
        <f t="shared" si="49"/>
        <v>-0.33853548622878027</v>
      </c>
      <c r="J40" s="35">
        <f t="shared" si="47"/>
        <v>239540.29803964941</v>
      </c>
      <c r="K40" s="30">
        <f t="shared" si="44"/>
        <v>3.7830349272281887</v>
      </c>
      <c r="L40" s="33">
        <f t="shared" si="50"/>
        <v>0.15581738668857059</v>
      </c>
      <c r="M40" s="31">
        <f t="shared" si="45"/>
        <v>31.41663632174426</v>
      </c>
      <c r="N40" s="33">
        <f t="shared" si="51"/>
        <v>-0.39374921324888656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I40" s="60"/>
      <c r="AJ40" s="66"/>
      <c r="AK40" s="60"/>
      <c r="AL40" s="66"/>
      <c r="AM40" s="60"/>
      <c r="AN40" s="66"/>
      <c r="AO40" s="60"/>
      <c r="AP40" s="66"/>
      <c r="AQ40" s="60"/>
      <c r="AR40" s="60"/>
      <c r="AS40" s="60"/>
      <c r="AT40" s="60"/>
      <c r="AU40" s="60"/>
      <c r="AV40" s="60"/>
      <c r="AW40" s="60"/>
      <c r="AX40" s="60"/>
      <c r="BA40" s="4"/>
      <c r="BL40" s="60"/>
    </row>
    <row r="41" spans="1:64" s="14" customFormat="1" ht="11.25" x14ac:dyDescent="0.2">
      <c r="A41" s="4">
        <f t="shared" si="40"/>
        <v>60005010</v>
      </c>
      <c r="B41" s="4" t="str">
        <f t="shared" si="40"/>
        <v>2015-16</v>
      </c>
      <c r="C41" s="14" t="str">
        <f t="shared" si="40"/>
        <v>WCU</v>
      </c>
      <c r="D41" s="32">
        <f t="shared" si="46"/>
        <v>2674876.79354335</v>
      </c>
      <c r="E41" s="26">
        <f t="shared" si="41"/>
        <v>1.2071621643395065</v>
      </c>
      <c r="F41" s="26">
        <f t="shared" si="42"/>
        <v>11.585123468839635</v>
      </c>
      <c r="G41" s="33">
        <f t="shared" si="48"/>
        <v>0.82096770752385173</v>
      </c>
      <c r="H41" s="28">
        <f t="shared" si="43"/>
        <v>104199.33525839374</v>
      </c>
      <c r="I41" s="34">
        <f t="shared" si="49"/>
        <v>-0.41658553977186674</v>
      </c>
      <c r="J41" s="35">
        <f t="shared" si="47"/>
        <v>226907.56644196683</v>
      </c>
      <c r="K41" s="30">
        <f t="shared" si="44"/>
        <v>3.6107548962237281</v>
      </c>
      <c r="L41" s="33">
        <f t="shared" si="50"/>
        <v>0.10318127334448923</v>
      </c>
      <c r="M41" s="31">
        <f t="shared" si="45"/>
        <v>31.570499579467711</v>
      </c>
      <c r="N41" s="33">
        <f t="shared" si="51"/>
        <v>-0.39078009459176377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I41" s="60"/>
      <c r="AJ41" s="66"/>
      <c r="AK41" s="60"/>
      <c r="AL41" s="66"/>
      <c r="AM41" s="60"/>
      <c r="AN41" s="66"/>
      <c r="AO41" s="60"/>
      <c r="AP41" s="66"/>
      <c r="AQ41" s="60"/>
      <c r="AR41" s="60"/>
      <c r="AS41" s="60"/>
      <c r="AT41" s="60"/>
      <c r="AU41" s="60"/>
      <c r="AV41" s="60"/>
      <c r="AW41" s="60"/>
      <c r="AX41" s="60"/>
      <c r="BA41" s="4"/>
      <c r="BL41" s="60"/>
    </row>
    <row r="42" spans="1:64" s="6" customFormat="1" ht="11.25" x14ac:dyDescent="0.2">
      <c r="A42" s="4">
        <f t="shared" si="40"/>
        <v>60005010</v>
      </c>
      <c r="B42" s="4" t="str">
        <f t="shared" si="40"/>
        <v>2016-17</v>
      </c>
      <c r="C42" s="14" t="str">
        <f t="shared" si="40"/>
        <v>WCU</v>
      </c>
      <c r="D42" s="32">
        <f t="shared" si="46"/>
        <v>2858710.2315271674</v>
      </c>
      <c r="E42" s="26">
        <f t="shared" si="41"/>
        <v>1.1113433821962473</v>
      </c>
      <c r="F42" s="26">
        <f t="shared" si="42"/>
        <v>11.187409481383407</v>
      </c>
      <c r="G42" s="33">
        <f t="shared" si="48"/>
        <v>0.75845440501686712</v>
      </c>
      <c r="H42" s="28">
        <f t="shared" si="43"/>
        <v>99338.759705327364</v>
      </c>
      <c r="I42" s="34">
        <f t="shared" si="49"/>
        <v>-0.44380001341182074</v>
      </c>
      <c r="J42" s="35">
        <f t="shared" si="47"/>
        <v>238925.07033166059</v>
      </c>
      <c r="K42" s="30">
        <f t="shared" si="44"/>
        <v>3.8787064412436827</v>
      </c>
      <c r="L42" s="33">
        <f t="shared" si="50"/>
        <v>0.18504756865544647</v>
      </c>
      <c r="M42" s="31">
        <f t="shared" si="45"/>
        <v>32.71345044840205</v>
      </c>
      <c r="N42" s="33">
        <f t="shared" si="51"/>
        <v>-0.36872442776565839</v>
      </c>
      <c r="AB42" s="14"/>
      <c r="AC42" s="14"/>
      <c r="AD42" s="14"/>
      <c r="AE42" s="14"/>
      <c r="AF42" s="14"/>
      <c r="AI42" s="61"/>
      <c r="AJ42" s="67"/>
      <c r="AK42" s="61"/>
      <c r="AL42" s="67"/>
      <c r="AM42" s="61"/>
      <c r="AN42" s="67"/>
      <c r="AO42" s="61"/>
      <c r="AP42" s="67"/>
      <c r="AQ42" s="61"/>
      <c r="AR42" s="61"/>
      <c r="AS42" s="61"/>
      <c r="AT42" s="61"/>
      <c r="AU42" s="61"/>
      <c r="AV42" s="61"/>
      <c r="AW42" s="61"/>
      <c r="AX42" s="61"/>
      <c r="BA42" s="22"/>
      <c r="BL42" s="61"/>
    </row>
    <row r="43" spans="1:64" s="14" customFormat="1" ht="11.25" x14ac:dyDescent="0.2">
      <c r="A43" s="4">
        <f t="shared" si="40"/>
        <v>60005010</v>
      </c>
      <c r="B43" s="4" t="str">
        <f t="shared" si="40"/>
        <v>2017-18</v>
      </c>
      <c r="C43" s="14" t="str">
        <f t="shared" si="40"/>
        <v>WCU</v>
      </c>
      <c r="D43" s="32">
        <f t="shared" si="46"/>
        <v>0</v>
      </c>
      <c r="E43" s="26">
        <f t="shared" si="41"/>
        <v>0</v>
      </c>
      <c r="F43" s="26">
        <f t="shared" si="42"/>
        <v>0</v>
      </c>
      <c r="G43" s="33">
        <f t="shared" si="48"/>
        <v>0</v>
      </c>
      <c r="H43" s="28">
        <f t="shared" si="43"/>
        <v>0</v>
      </c>
      <c r="I43" s="34">
        <f t="shared" si="49"/>
        <v>0</v>
      </c>
      <c r="J43" s="35">
        <f t="shared" si="47"/>
        <v>0</v>
      </c>
      <c r="K43" s="30">
        <f t="shared" si="44"/>
        <v>0</v>
      </c>
      <c r="L43" s="33">
        <f t="shared" si="50"/>
        <v>0</v>
      </c>
      <c r="M43" s="31">
        <f t="shared" si="45"/>
        <v>0</v>
      </c>
      <c r="N43" s="33">
        <f t="shared" si="51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I43" s="60"/>
      <c r="AJ43" s="66"/>
      <c r="AK43" s="60"/>
      <c r="AL43" s="66"/>
      <c r="AM43" s="60"/>
      <c r="AN43" s="66"/>
      <c r="AO43" s="60"/>
      <c r="AP43" s="66"/>
      <c r="AQ43" s="60"/>
      <c r="AR43" s="60"/>
      <c r="AS43" s="60"/>
      <c r="AT43" s="60"/>
      <c r="AU43" s="60"/>
      <c r="AV43" s="60"/>
      <c r="AW43" s="60"/>
      <c r="AX43" s="60"/>
      <c r="BA43" s="4"/>
      <c r="BL43" s="60"/>
    </row>
    <row r="44" spans="1:64" s="14" customFormat="1" ht="11.25" x14ac:dyDescent="0.2">
      <c r="A44" s="4">
        <f t="shared" ref="A44:C50" si="52">A18</f>
        <v>60005010</v>
      </c>
      <c r="B44" s="4" t="str">
        <f t="shared" si="52"/>
        <v>2018-19</v>
      </c>
      <c r="C44" s="14" t="str">
        <f t="shared" si="52"/>
        <v>WCU</v>
      </c>
      <c r="D44" s="32">
        <f t="shared" si="46"/>
        <v>0</v>
      </c>
      <c r="E44" s="26">
        <f t="shared" si="41"/>
        <v>0</v>
      </c>
      <c r="F44" s="26">
        <f t="shared" si="42"/>
        <v>0</v>
      </c>
      <c r="G44" s="33">
        <f t="shared" si="48"/>
        <v>0</v>
      </c>
      <c r="H44" s="28">
        <f t="shared" si="43"/>
        <v>0</v>
      </c>
      <c r="I44" s="34">
        <f t="shared" si="49"/>
        <v>0</v>
      </c>
      <c r="J44" s="35">
        <f t="shared" si="47"/>
        <v>0</v>
      </c>
      <c r="K44" s="30">
        <f t="shared" si="44"/>
        <v>0</v>
      </c>
      <c r="L44" s="33">
        <f t="shared" si="50"/>
        <v>0</v>
      </c>
      <c r="M44" s="31">
        <f t="shared" si="45"/>
        <v>0</v>
      </c>
      <c r="N44" s="33">
        <f t="shared" si="51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G44" s="6"/>
      <c r="AH44" s="6"/>
      <c r="AI44" s="60"/>
      <c r="AJ44" s="66"/>
      <c r="AK44" s="60"/>
      <c r="AL44" s="66"/>
      <c r="AM44" s="60"/>
      <c r="AN44" s="66"/>
      <c r="AO44" s="60"/>
      <c r="AP44" s="66"/>
      <c r="AQ44" s="61"/>
      <c r="AR44" s="61"/>
      <c r="AS44" s="61"/>
      <c r="AT44" s="61"/>
      <c r="AU44" s="61"/>
      <c r="AV44" s="61"/>
      <c r="AW44" s="60"/>
      <c r="AX44" s="61"/>
      <c r="AY44" s="6"/>
      <c r="AZ44" s="6"/>
      <c r="BA44" s="22"/>
      <c r="BB44" s="6"/>
      <c r="BC44" s="6"/>
      <c r="BL44" s="60"/>
    </row>
    <row r="45" spans="1:64" s="14" customFormat="1" ht="11.25" x14ac:dyDescent="0.2">
      <c r="A45" s="4">
        <f t="shared" si="52"/>
        <v>60005010</v>
      </c>
      <c r="B45" s="4" t="str">
        <f t="shared" si="52"/>
        <v>2019-20</v>
      </c>
      <c r="C45" s="14" t="str">
        <f t="shared" si="52"/>
        <v>WCU</v>
      </c>
      <c r="D45" s="32">
        <f t="shared" si="46"/>
        <v>0</v>
      </c>
      <c r="E45" s="26">
        <f t="shared" si="41"/>
        <v>0</v>
      </c>
      <c r="F45" s="26">
        <f t="shared" si="42"/>
        <v>0</v>
      </c>
      <c r="G45" s="33">
        <f t="shared" si="48"/>
        <v>0</v>
      </c>
      <c r="H45" s="28">
        <f t="shared" si="43"/>
        <v>0</v>
      </c>
      <c r="I45" s="34">
        <f t="shared" si="49"/>
        <v>0</v>
      </c>
      <c r="J45" s="35">
        <f t="shared" si="47"/>
        <v>0</v>
      </c>
      <c r="K45" s="30">
        <f t="shared" si="44"/>
        <v>0</v>
      </c>
      <c r="L45" s="33">
        <f t="shared" si="50"/>
        <v>0</v>
      </c>
      <c r="M45" s="31">
        <f t="shared" si="45"/>
        <v>0</v>
      </c>
      <c r="N45" s="33">
        <f t="shared" si="51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G45" s="6"/>
      <c r="AH45" s="6"/>
      <c r="AI45" s="60"/>
      <c r="AJ45" s="66"/>
      <c r="AK45" s="60"/>
      <c r="AL45" s="66"/>
      <c r="AM45" s="60"/>
      <c r="AN45" s="66"/>
      <c r="AO45" s="60"/>
      <c r="AP45" s="66"/>
      <c r="AQ45" s="61"/>
      <c r="AR45" s="61"/>
      <c r="AS45" s="61"/>
      <c r="AT45" s="61"/>
      <c r="AU45" s="61"/>
      <c r="AV45" s="61"/>
      <c r="AW45" s="60"/>
      <c r="AX45" s="61"/>
      <c r="AY45" s="6"/>
      <c r="AZ45" s="6"/>
      <c r="BA45" s="22"/>
      <c r="BB45" s="6"/>
      <c r="BC45" s="6"/>
      <c r="BL45" s="60"/>
    </row>
    <row r="46" spans="1:64" s="14" customFormat="1" ht="11.25" x14ac:dyDescent="0.2">
      <c r="A46" s="4">
        <f t="shared" si="52"/>
        <v>60005010</v>
      </c>
      <c r="B46" s="4" t="str">
        <f t="shared" si="52"/>
        <v>2020-21</v>
      </c>
      <c r="C46" s="14" t="str">
        <f t="shared" si="52"/>
        <v>WCU</v>
      </c>
      <c r="D46" s="32">
        <f t="shared" si="46"/>
        <v>0</v>
      </c>
      <c r="E46" s="26">
        <f t="shared" si="41"/>
        <v>0</v>
      </c>
      <c r="F46" s="26">
        <f t="shared" si="42"/>
        <v>0</v>
      </c>
      <c r="G46" s="33">
        <f t="shared" si="48"/>
        <v>0</v>
      </c>
      <c r="H46" s="28">
        <f t="shared" si="43"/>
        <v>0</v>
      </c>
      <c r="I46" s="34">
        <f t="shared" si="49"/>
        <v>0</v>
      </c>
      <c r="J46" s="35">
        <f t="shared" si="47"/>
        <v>0</v>
      </c>
      <c r="K46" s="30">
        <f t="shared" si="44"/>
        <v>0</v>
      </c>
      <c r="L46" s="33">
        <f t="shared" si="50"/>
        <v>0</v>
      </c>
      <c r="M46" s="31">
        <f t="shared" si="45"/>
        <v>0</v>
      </c>
      <c r="N46" s="33">
        <f t="shared" si="51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G46" s="6"/>
      <c r="AH46" s="6"/>
      <c r="AI46" s="60"/>
      <c r="AJ46" s="66"/>
      <c r="AK46" s="60"/>
      <c r="AL46" s="66"/>
      <c r="AM46" s="60"/>
      <c r="AN46" s="66"/>
      <c r="AO46" s="60"/>
      <c r="AP46" s="66"/>
      <c r="AQ46" s="61"/>
      <c r="AR46" s="61"/>
      <c r="AS46" s="61"/>
      <c r="AT46" s="61"/>
      <c r="AU46" s="61"/>
      <c r="AV46" s="61"/>
      <c r="AW46" s="60"/>
      <c r="AX46" s="61"/>
      <c r="AY46" s="6"/>
      <c r="AZ46" s="6"/>
      <c r="BA46" s="22"/>
      <c r="BB46" s="6"/>
      <c r="BC46" s="6"/>
      <c r="BL46" s="60"/>
    </row>
    <row r="47" spans="1:64" s="14" customFormat="1" ht="11.25" x14ac:dyDescent="0.2">
      <c r="A47" s="4">
        <f t="shared" si="52"/>
        <v>60005010</v>
      </c>
      <c r="B47" s="4" t="str">
        <f t="shared" si="52"/>
        <v>2021-22</v>
      </c>
      <c r="C47" s="14" t="str">
        <f t="shared" si="52"/>
        <v>WCU</v>
      </c>
      <c r="D47" s="32">
        <f t="shared" si="46"/>
        <v>0</v>
      </c>
      <c r="E47" s="26">
        <f t="shared" si="41"/>
        <v>0</v>
      </c>
      <c r="F47" s="26">
        <f t="shared" si="42"/>
        <v>0</v>
      </c>
      <c r="G47" s="33">
        <f t="shared" si="48"/>
        <v>0</v>
      </c>
      <c r="H47" s="28">
        <f t="shared" si="43"/>
        <v>0</v>
      </c>
      <c r="I47" s="34">
        <f t="shared" si="49"/>
        <v>0</v>
      </c>
      <c r="J47" s="35">
        <f t="shared" si="47"/>
        <v>0</v>
      </c>
      <c r="K47" s="30">
        <f t="shared" si="44"/>
        <v>0</v>
      </c>
      <c r="L47" s="33">
        <f t="shared" si="50"/>
        <v>0</v>
      </c>
      <c r="M47" s="31">
        <f t="shared" si="45"/>
        <v>0</v>
      </c>
      <c r="N47" s="33">
        <f t="shared" si="51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G47" s="6"/>
      <c r="AH47" s="6"/>
      <c r="AI47" s="60"/>
      <c r="AJ47" s="66"/>
      <c r="AK47" s="60"/>
      <c r="AL47" s="66"/>
      <c r="AM47" s="60"/>
      <c r="AN47" s="66"/>
      <c r="AO47" s="60"/>
      <c r="AP47" s="66"/>
      <c r="AQ47" s="61"/>
      <c r="AR47" s="61"/>
      <c r="AS47" s="61"/>
      <c r="AT47" s="61"/>
      <c r="AU47" s="61"/>
      <c r="AV47" s="61"/>
      <c r="AW47" s="60"/>
      <c r="AX47" s="61"/>
      <c r="AY47" s="6"/>
      <c r="AZ47" s="6"/>
      <c r="BA47" s="22"/>
      <c r="BB47" s="6"/>
      <c r="BC47" s="6"/>
      <c r="BL47" s="60"/>
    </row>
    <row r="48" spans="1:64" s="14" customFormat="1" ht="11.25" x14ac:dyDescent="0.2">
      <c r="A48" s="4">
        <f t="shared" si="52"/>
        <v>60005010</v>
      </c>
      <c r="B48" s="4" t="str">
        <f t="shared" si="52"/>
        <v>2022-23</v>
      </c>
      <c r="C48" s="14" t="str">
        <f t="shared" si="52"/>
        <v>WCU</v>
      </c>
      <c r="D48" s="32">
        <f t="shared" si="46"/>
        <v>0</v>
      </c>
      <c r="E48" s="26">
        <f t="shared" si="41"/>
        <v>0</v>
      </c>
      <c r="F48" s="26">
        <f t="shared" si="42"/>
        <v>0</v>
      </c>
      <c r="G48" s="33">
        <f t="shared" si="48"/>
        <v>0</v>
      </c>
      <c r="H48" s="28">
        <f t="shared" si="43"/>
        <v>0</v>
      </c>
      <c r="I48" s="34">
        <f t="shared" si="49"/>
        <v>0</v>
      </c>
      <c r="J48" s="35">
        <f t="shared" si="47"/>
        <v>0</v>
      </c>
      <c r="K48" s="30">
        <f t="shared" si="44"/>
        <v>0</v>
      </c>
      <c r="L48" s="33">
        <f t="shared" si="50"/>
        <v>0</v>
      </c>
      <c r="M48" s="31">
        <f t="shared" si="45"/>
        <v>0</v>
      </c>
      <c r="N48" s="33">
        <f t="shared" si="51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G48" s="6"/>
      <c r="AH48" s="6"/>
      <c r="AI48" s="60"/>
      <c r="AJ48" s="66"/>
      <c r="AK48" s="60"/>
      <c r="AL48" s="66"/>
      <c r="AM48" s="60"/>
      <c r="AN48" s="66"/>
      <c r="AO48" s="60"/>
      <c r="AP48" s="66"/>
      <c r="AQ48" s="61"/>
      <c r="AR48" s="61"/>
      <c r="AS48" s="61"/>
      <c r="AT48" s="61"/>
      <c r="AU48" s="61"/>
      <c r="AV48" s="61"/>
      <c r="AW48" s="60"/>
      <c r="AX48" s="61"/>
      <c r="AY48" s="6"/>
      <c r="AZ48" s="6"/>
      <c r="BA48" s="22"/>
      <c r="BB48" s="6"/>
      <c r="BC48" s="6"/>
      <c r="BL48" s="60"/>
    </row>
    <row r="49" spans="1:65" s="14" customFormat="1" ht="11.25" x14ac:dyDescent="0.2">
      <c r="A49" s="4">
        <f t="shared" si="52"/>
        <v>60005010</v>
      </c>
      <c r="B49" s="4" t="str">
        <f t="shared" si="52"/>
        <v>2023-24</v>
      </c>
      <c r="C49" s="14" t="str">
        <f t="shared" si="52"/>
        <v>WCU</v>
      </c>
      <c r="D49" s="32">
        <f t="shared" si="46"/>
        <v>0</v>
      </c>
      <c r="E49" s="26">
        <f t="shared" si="41"/>
        <v>0</v>
      </c>
      <c r="F49" s="26">
        <f t="shared" si="42"/>
        <v>0</v>
      </c>
      <c r="G49" s="33">
        <f t="shared" si="48"/>
        <v>0</v>
      </c>
      <c r="H49" s="28">
        <f t="shared" si="43"/>
        <v>0</v>
      </c>
      <c r="I49" s="34">
        <f t="shared" si="49"/>
        <v>0</v>
      </c>
      <c r="J49" s="35">
        <f t="shared" si="47"/>
        <v>0</v>
      </c>
      <c r="K49" s="30">
        <f t="shared" si="44"/>
        <v>0</v>
      </c>
      <c r="L49" s="33">
        <f t="shared" si="50"/>
        <v>0</v>
      </c>
      <c r="M49" s="31">
        <f t="shared" si="45"/>
        <v>0</v>
      </c>
      <c r="N49" s="33">
        <f t="shared" si="51"/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G49" s="6"/>
      <c r="AH49" s="6"/>
      <c r="AI49" s="60"/>
      <c r="AJ49" s="66"/>
      <c r="AK49" s="60"/>
      <c r="AL49" s="66"/>
      <c r="AM49" s="60"/>
      <c r="AN49" s="66"/>
      <c r="AO49" s="60"/>
      <c r="AP49" s="66"/>
      <c r="AQ49" s="61"/>
      <c r="AR49" s="61"/>
      <c r="AS49" s="61"/>
      <c r="AT49" s="61"/>
      <c r="AU49" s="61"/>
      <c r="AV49" s="61"/>
      <c r="AW49" s="60"/>
      <c r="AX49" s="61"/>
      <c r="AY49" s="6"/>
      <c r="AZ49" s="6"/>
      <c r="BA49" s="22"/>
      <c r="BB49" s="6"/>
      <c r="BC49" s="6"/>
      <c r="BL49" s="60"/>
    </row>
    <row r="50" spans="1:65" s="14" customFormat="1" ht="11.25" x14ac:dyDescent="0.2">
      <c r="A50" s="4">
        <f t="shared" si="52"/>
        <v>60005010</v>
      </c>
      <c r="B50" s="4" t="str">
        <f t="shared" si="52"/>
        <v>2024-25</v>
      </c>
      <c r="C50" s="14" t="str">
        <f t="shared" si="52"/>
        <v>WCU</v>
      </c>
      <c r="D50" s="32">
        <f t="shared" si="46"/>
        <v>0</v>
      </c>
      <c r="E50" s="26">
        <f t="shared" si="41"/>
        <v>0</v>
      </c>
      <c r="F50" s="26">
        <f t="shared" si="42"/>
        <v>0</v>
      </c>
      <c r="G50" s="33">
        <f t="shared" si="48"/>
        <v>0</v>
      </c>
      <c r="H50" s="28">
        <f t="shared" si="43"/>
        <v>0</v>
      </c>
      <c r="I50" s="34">
        <f t="shared" si="49"/>
        <v>0</v>
      </c>
      <c r="J50" s="35">
        <f t="shared" si="47"/>
        <v>0</v>
      </c>
      <c r="K50" s="30">
        <f t="shared" si="44"/>
        <v>0</v>
      </c>
      <c r="L50" s="33">
        <f t="shared" si="50"/>
        <v>0</v>
      </c>
      <c r="M50" s="31">
        <f t="shared" si="45"/>
        <v>0</v>
      </c>
      <c r="N50" s="33">
        <f t="shared" si="51"/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G50" s="6"/>
      <c r="AH50" s="6"/>
      <c r="AI50" s="60"/>
      <c r="AJ50" s="66"/>
      <c r="AK50" s="60"/>
      <c r="AL50" s="66"/>
      <c r="AM50" s="60"/>
      <c r="AN50" s="66"/>
      <c r="AO50" s="60"/>
      <c r="AP50" s="66"/>
      <c r="AQ50" s="61"/>
      <c r="AR50" s="61"/>
      <c r="AS50" s="61"/>
      <c r="AT50" s="61"/>
      <c r="AU50" s="61"/>
      <c r="AV50" s="61"/>
      <c r="AW50" s="60"/>
      <c r="AX50" s="61"/>
      <c r="AY50" s="6"/>
      <c r="AZ50" s="6"/>
      <c r="BA50" s="22"/>
      <c r="BB50" s="6"/>
      <c r="BC50" s="6"/>
      <c r="BL50" s="60"/>
    </row>
    <row r="51" spans="1:65" s="14" customFormat="1" ht="11.25" x14ac:dyDescent="0.2">
      <c r="A51" s="4"/>
      <c r="B51" s="4"/>
      <c r="D51" s="36"/>
      <c r="AG51" s="6"/>
      <c r="AH51" s="6"/>
      <c r="AI51" s="60"/>
      <c r="AJ51" s="66"/>
      <c r="AK51" s="60"/>
      <c r="AL51" s="66"/>
      <c r="AM51" s="60"/>
      <c r="AN51" s="66"/>
      <c r="AO51" s="60"/>
      <c r="AP51" s="66"/>
      <c r="AQ51" s="61"/>
      <c r="AR51" s="61"/>
      <c r="AS51" s="61"/>
      <c r="AT51" s="61"/>
      <c r="AU51" s="61"/>
      <c r="AV51" s="61"/>
      <c r="AW51" s="60"/>
      <c r="AX51" s="61"/>
      <c r="AY51" s="6"/>
      <c r="AZ51" s="6"/>
      <c r="BA51" s="22"/>
      <c r="BB51" s="6"/>
      <c r="BC51" s="6"/>
      <c r="BL51" s="60"/>
    </row>
    <row r="52" spans="1:65" s="14" customFormat="1" ht="11.25" x14ac:dyDescent="0.2">
      <c r="A52" s="4"/>
      <c r="B52" s="37" t="s">
        <v>115</v>
      </c>
      <c r="C52" s="6" t="s">
        <v>116</v>
      </c>
      <c r="D52" s="24" t="s">
        <v>69</v>
      </c>
      <c r="E52" s="24" t="s">
        <v>70</v>
      </c>
      <c r="F52" s="24" t="s">
        <v>71</v>
      </c>
      <c r="G52" s="24" t="s">
        <v>72</v>
      </c>
      <c r="H52" s="130" t="s">
        <v>73</v>
      </c>
      <c r="I52" s="131"/>
      <c r="J52" s="24" t="s">
        <v>74</v>
      </c>
      <c r="K52" s="24" t="s">
        <v>75</v>
      </c>
      <c r="L52" s="24" t="s">
        <v>76</v>
      </c>
      <c r="M52" s="24" t="s">
        <v>77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0"/>
      <c r="AJ52" s="66"/>
      <c r="AK52" s="60"/>
      <c r="AL52" s="66"/>
      <c r="AM52" s="60"/>
      <c r="AN52" s="66"/>
      <c r="AO52" s="60"/>
      <c r="AP52" s="66"/>
      <c r="AQ52" s="61"/>
      <c r="AR52" s="61"/>
      <c r="AS52" s="61"/>
      <c r="AT52" s="61"/>
      <c r="AU52" s="61"/>
      <c r="AV52" s="61"/>
      <c r="AW52" s="60"/>
      <c r="AX52" s="61"/>
      <c r="AY52" s="6"/>
      <c r="AZ52" s="6"/>
      <c r="BA52" s="22"/>
      <c r="BB52" s="6"/>
      <c r="BC52" s="6"/>
      <c r="BL52" s="60"/>
    </row>
    <row r="53" spans="1:65" s="14" customFormat="1" ht="11.25" x14ac:dyDescent="0.2">
      <c r="A53" s="4">
        <f t="shared" ref="A53:C68" si="53">A2</f>
        <v>60005010</v>
      </c>
      <c r="B53" s="4" t="str">
        <f t="shared" si="53"/>
        <v xml:space="preserve"> 2002-03</v>
      </c>
      <c r="C53" s="14" t="str">
        <f t="shared" si="53"/>
        <v>WCU</v>
      </c>
      <c r="D53" s="38">
        <f t="shared" ref="D53:D75" si="54">IF(G2=0,0,H2/G2)</f>
        <v>4.6285510708021782E-2</v>
      </c>
      <c r="E53" s="39">
        <f t="shared" ref="E53:E75" si="55">IF(I2=0,0,J2/I2)</f>
        <v>7.6863393802645327E-2</v>
      </c>
      <c r="F53" s="26">
        <f t="shared" ref="F53:F75" si="56">IF(K2=0,0,L2/K2)</f>
        <v>1.065526880823831</v>
      </c>
      <c r="G53" s="26">
        <f t="shared" ref="G53:G75" si="57">IF(M2=0,0,N2/M2)</f>
        <v>0.89130053191222591</v>
      </c>
      <c r="H53" s="123">
        <f t="shared" ref="H53:H75" si="58">IF(O2=0,0,P2/O2)</f>
        <v>0.95514528284754374</v>
      </c>
      <c r="I53" s="123"/>
      <c r="J53" s="26">
        <f t="shared" ref="J53:J75" si="59">IF(Q2=0,0,R2/Q2)</f>
        <v>0</v>
      </c>
      <c r="K53" s="26">
        <f t="shared" ref="K53:K75" si="60">IF(S2=0,0,T2/S2)</f>
        <v>0</v>
      </c>
      <c r="L53" s="26">
        <f t="shared" ref="L53:L75" si="61">IF(U2=0,0,V2/U2)</f>
        <v>0</v>
      </c>
      <c r="M53" s="26">
        <f t="shared" ref="M53:M75" si="62">IF(W2=0,0,X2/W2)</f>
        <v>0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0"/>
      <c r="AJ53" s="66"/>
      <c r="AK53" s="60"/>
      <c r="AL53" s="66"/>
      <c r="AM53" s="60"/>
      <c r="AN53" s="66"/>
      <c r="AO53" s="60"/>
      <c r="AP53" s="66"/>
      <c r="AQ53" s="61"/>
      <c r="AR53" s="61"/>
      <c r="AS53" s="61"/>
      <c r="AT53" s="61"/>
      <c r="AU53" s="61"/>
      <c r="AV53" s="61"/>
      <c r="AW53" s="60"/>
      <c r="AX53" s="61"/>
      <c r="AY53" s="6"/>
      <c r="AZ53" s="6"/>
      <c r="BA53" s="22"/>
      <c r="BB53" s="6"/>
      <c r="BC53" s="6"/>
      <c r="BL53" s="60"/>
    </row>
    <row r="54" spans="1:65" s="14" customFormat="1" ht="11.25" x14ac:dyDescent="0.2">
      <c r="A54" s="4">
        <f t="shared" si="53"/>
        <v>60005010</v>
      </c>
      <c r="B54" s="4" t="str">
        <f t="shared" si="53"/>
        <v xml:space="preserve"> 2003-04</v>
      </c>
      <c r="C54" s="14" t="str">
        <f t="shared" si="53"/>
        <v>WCU</v>
      </c>
      <c r="D54" s="38">
        <f t="shared" si="54"/>
        <v>4.7180662649301278E-2</v>
      </c>
      <c r="E54" s="39">
        <f t="shared" si="55"/>
        <v>0.60706813186813191</v>
      </c>
      <c r="F54" s="26">
        <f t="shared" si="56"/>
        <v>1.1562242296364675</v>
      </c>
      <c r="G54" s="26">
        <f t="shared" si="57"/>
        <v>0.89130156513644032</v>
      </c>
      <c r="H54" s="123">
        <f t="shared" si="58"/>
        <v>0.99412997903563938</v>
      </c>
      <c r="I54" s="123"/>
      <c r="J54" s="26">
        <f t="shared" si="59"/>
        <v>0</v>
      </c>
      <c r="K54" s="26">
        <f t="shared" si="60"/>
        <v>0</v>
      </c>
      <c r="L54" s="26">
        <f t="shared" si="61"/>
        <v>0</v>
      </c>
      <c r="M54" s="26">
        <f t="shared" si="62"/>
        <v>0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0"/>
      <c r="AJ54" s="66"/>
      <c r="AK54" s="60"/>
      <c r="AL54" s="66"/>
      <c r="AM54" s="60"/>
      <c r="AN54" s="66"/>
      <c r="AO54" s="60"/>
      <c r="AP54" s="66"/>
      <c r="AQ54" s="61"/>
      <c r="AR54" s="61"/>
      <c r="AS54" s="61"/>
      <c r="AT54" s="61"/>
      <c r="AU54" s="61"/>
      <c r="AV54" s="61"/>
      <c r="AW54" s="60"/>
      <c r="AX54" s="61"/>
      <c r="AY54" s="6"/>
      <c r="AZ54" s="6"/>
      <c r="BA54" s="22"/>
      <c r="BB54" s="6"/>
      <c r="BC54" s="6"/>
      <c r="BL54" s="60"/>
    </row>
    <row r="55" spans="1:65" s="14" customFormat="1" ht="11.25" x14ac:dyDescent="0.2">
      <c r="A55" s="4">
        <f t="shared" si="53"/>
        <v>60005010</v>
      </c>
      <c r="B55" s="4" t="str">
        <f t="shared" si="53"/>
        <v xml:space="preserve"> 2004-05</v>
      </c>
      <c r="C55" s="40" t="str">
        <f t="shared" si="53"/>
        <v>WCU</v>
      </c>
      <c r="D55" s="38">
        <f t="shared" si="54"/>
        <v>4.8117028113428821E-2</v>
      </c>
      <c r="E55" s="39">
        <f t="shared" si="55"/>
        <v>0.64386750885586019</v>
      </c>
      <c r="F55" s="26">
        <f t="shared" si="56"/>
        <v>1.488710331705916</v>
      </c>
      <c r="G55" s="26">
        <f t="shared" si="57"/>
        <v>0.92555905418709072</v>
      </c>
      <c r="H55" s="123">
        <f t="shared" si="58"/>
        <v>1.0025997797963115</v>
      </c>
      <c r="I55" s="123"/>
      <c r="J55" s="26">
        <f t="shared" si="59"/>
        <v>0</v>
      </c>
      <c r="K55" s="26">
        <f t="shared" si="60"/>
        <v>0</v>
      </c>
      <c r="L55" s="26">
        <f t="shared" si="61"/>
        <v>0</v>
      </c>
      <c r="M55" s="26">
        <f t="shared" si="62"/>
        <v>0</v>
      </c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0"/>
      <c r="AJ55" s="66"/>
      <c r="AK55" s="60"/>
      <c r="AL55" s="66"/>
      <c r="AM55" s="60"/>
      <c r="AN55" s="66"/>
      <c r="AO55" s="60"/>
      <c r="AP55" s="66"/>
      <c r="AQ55" s="61"/>
      <c r="AR55" s="61"/>
      <c r="AS55" s="61"/>
      <c r="AT55" s="61"/>
      <c r="AU55" s="61"/>
      <c r="AV55" s="61"/>
      <c r="AW55" s="60"/>
      <c r="AX55" s="61"/>
      <c r="AY55" s="6"/>
      <c r="AZ55" s="6"/>
      <c r="BA55" s="22"/>
      <c r="BB55" s="6"/>
      <c r="BC55" s="6"/>
      <c r="BL55" s="60"/>
    </row>
    <row r="56" spans="1:65" s="14" customFormat="1" ht="11.25" x14ac:dyDescent="0.2">
      <c r="A56" s="4">
        <f t="shared" si="53"/>
        <v>60005010</v>
      </c>
      <c r="B56" s="4" t="str">
        <f t="shared" si="53"/>
        <v>2005-06</v>
      </c>
      <c r="C56" s="40" t="str">
        <f t="shared" si="53"/>
        <v>WCU</v>
      </c>
      <c r="D56" s="38">
        <f t="shared" si="54"/>
        <v>5.0691987844378936E-2</v>
      </c>
      <c r="E56" s="39">
        <f t="shared" si="55"/>
        <v>1.6056258032327544</v>
      </c>
      <c r="F56" s="26">
        <f t="shared" si="56"/>
        <v>1.9137702308304589</v>
      </c>
      <c r="G56" s="26">
        <f t="shared" si="57"/>
        <v>1.3195269267764584</v>
      </c>
      <c r="H56" s="123">
        <f t="shared" si="58"/>
        <v>1.2630265086975472</v>
      </c>
      <c r="I56" s="123"/>
      <c r="J56" s="26">
        <f t="shared" si="59"/>
        <v>0</v>
      </c>
      <c r="K56" s="26">
        <f t="shared" si="60"/>
        <v>0</v>
      </c>
      <c r="L56" s="26">
        <f t="shared" si="61"/>
        <v>0</v>
      </c>
      <c r="M56" s="26">
        <f t="shared" si="62"/>
        <v>0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0"/>
      <c r="AJ56" s="66"/>
      <c r="AK56" s="60"/>
      <c r="AL56" s="66"/>
      <c r="AM56" s="60"/>
      <c r="AN56" s="66"/>
      <c r="AO56" s="60"/>
      <c r="AP56" s="66"/>
      <c r="AQ56" s="61"/>
      <c r="AR56" s="61"/>
      <c r="AS56" s="61"/>
      <c r="AT56" s="61"/>
      <c r="AU56" s="61"/>
      <c r="AV56" s="61"/>
      <c r="AW56" s="60"/>
      <c r="AX56" s="61"/>
      <c r="AY56" s="6"/>
      <c r="AZ56" s="6"/>
      <c r="BA56" s="22"/>
      <c r="BB56" s="6"/>
      <c r="BC56" s="6"/>
      <c r="BL56" s="60"/>
    </row>
    <row r="57" spans="1:65" s="14" customFormat="1" ht="11.25" x14ac:dyDescent="0.2">
      <c r="A57" s="4">
        <f t="shared" si="53"/>
        <v>60005010</v>
      </c>
      <c r="B57" s="4" t="str">
        <f t="shared" si="53"/>
        <v xml:space="preserve"> 2006-07</v>
      </c>
      <c r="C57" s="40" t="str">
        <f t="shared" si="53"/>
        <v>WCU</v>
      </c>
      <c r="D57" s="38">
        <f t="shared" si="54"/>
        <v>5.4996027373920946E-2</v>
      </c>
      <c r="E57" s="39">
        <f t="shared" si="55"/>
        <v>0.82038340821531563</v>
      </c>
      <c r="F57" s="26">
        <f t="shared" si="56"/>
        <v>1.9067147760004903</v>
      </c>
      <c r="G57" s="26">
        <f t="shared" si="57"/>
        <v>1.4310614471864804</v>
      </c>
      <c r="H57" s="123">
        <f t="shared" si="58"/>
        <v>1.2584669224756626</v>
      </c>
      <c r="I57" s="123"/>
      <c r="J57" s="26">
        <f t="shared" si="59"/>
        <v>0</v>
      </c>
      <c r="K57" s="26">
        <f t="shared" si="60"/>
        <v>0</v>
      </c>
      <c r="L57" s="26">
        <f t="shared" si="61"/>
        <v>0</v>
      </c>
      <c r="M57" s="26">
        <f t="shared" si="62"/>
        <v>0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0"/>
      <c r="AJ57" s="66"/>
      <c r="AK57" s="60"/>
      <c r="AL57" s="66"/>
      <c r="AM57" s="60"/>
      <c r="AN57" s="66"/>
      <c r="AO57" s="60"/>
      <c r="AP57" s="66"/>
      <c r="AQ57" s="61"/>
      <c r="AR57" s="61"/>
      <c r="AS57" s="61"/>
      <c r="AT57" s="61"/>
      <c r="AU57" s="61"/>
      <c r="AV57" s="61"/>
      <c r="AW57" s="60"/>
      <c r="AX57" s="61"/>
      <c r="AY57" s="6"/>
      <c r="AZ57" s="6"/>
      <c r="BA57" s="22"/>
      <c r="BB57" s="6"/>
      <c r="BC57" s="6"/>
      <c r="BL57" s="60"/>
    </row>
    <row r="58" spans="1:65" s="14" customFormat="1" ht="11.25" x14ac:dyDescent="0.2">
      <c r="A58" s="4">
        <f t="shared" si="53"/>
        <v>60005010</v>
      </c>
      <c r="B58" s="4" t="str">
        <f t="shared" si="53"/>
        <v xml:space="preserve"> 2007-08</v>
      </c>
      <c r="C58" s="40" t="str">
        <f t="shared" si="53"/>
        <v>WCU</v>
      </c>
      <c r="D58" s="38">
        <f t="shared" si="54"/>
        <v>5.6883561164191701E-2</v>
      </c>
      <c r="E58" s="39">
        <f t="shared" si="55"/>
        <v>1.0035421557182711</v>
      </c>
      <c r="F58" s="26">
        <f t="shared" si="56"/>
        <v>3.0036425062965533</v>
      </c>
      <c r="G58" s="26">
        <f t="shared" si="57"/>
        <v>1.4303475558067251</v>
      </c>
      <c r="H58" s="123">
        <f t="shared" si="58"/>
        <v>1.8174198330172426</v>
      </c>
      <c r="I58" s="123"/>
      <c r="J58" s="26">
        <f t="shared" si="59"/>
        <v>0</v>
      </c>
      <c r="K58" s="26">
        <f t="shared" si="60"/>
        <v>0</v>
      </c>
      <c r="L58" s="26">
        <f t="shared" si="61"/>
        <v>0</v>
      </c>
      <c r="M58" s="26">
        <f t="shared" si="62"/>
        <v>0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0"/>
      <c r="AJ58" s="66"/>
      <c r="AK58" s="60"/>
      <c r="AL58" s="66"/>
      <c r="AM58" s="60"/>
      <c r="AN58" s="66"/>
      <c r="AO58" s="60"/>
      <c r="AP58" s="66"/>
      <c r="AQ58" s="61"/>
      <c r="AR58" s="61"/>
      <c r="AS58" s="61"/>
      <c r="AT58" s="61"/>
      <c r="AU58" s="61"/>
      <c r="AV58" s="61"/>
      <c r="AW58" s="60"/>
      <c r="AX58" s="61"/>
      <c r="AY58" s="6"/>
      <c r="AZ58" s="6"/>
      <c r="BA58" s="22"/>
      <c r="BB58" s="6"/>
      <c r="BC58" s="6"/>
      <c r="BL58" s="60"/>
    </row>
    <row r="59" spans="1:65" s="14" customFormat="1" ht="11.25" x14ac:dyDescent="0.2">
      <c r="A59" s="4">
        <f t="shared" si="53"/>
        <v>60005010</v>
      </c>
      <c r="B59" s="4" t="str">
        <f t="shared" si="53"/>
        <v>2008-09</v>
      </c>
      <c r="C59" s="40" t="str">
        <f t="shared" si="53"/>
        <v>WCU</v>
      </c>
      <c r="D59" s="38">
        <f t="shared" si="54"/>
        <v>5.3995675882774909E-2</v>
      </c>
      <c r="E59" s="39">
        <f t="shared" si="55"/>
        <v>0.79756405490420368</v>
      </c>
      <c r="F59" s="26">
        <f t="shared" si="56"/>
        <v>1.8133752993954011</v>
      </c>
      <c r="G59" s="26">
        <f t="shared" si="57"/>
        <v>2.6973661852166524</v>
      </c>
      <c r="H59" s="123">
        <f t="shared" si="58"/>
        <v>2.3157354618015962</v>
      </c>
      <c r="I59" s="123"/>
      <c r="J59" s="26">
        <f t="shared" si="59"/>
        <v>0</v>
      </c>
      <c r="K59" s="26">
        <f t="shared" si="60"/>
        <v>0</v>
      </c>
      <c r="L59" s="26">
        <f t="shared" si="61"/>
        <v>0</v>
      </c>
      <c r="M59" s="26">
        <f t="shared" si="62"/>
        <v>0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0"/>
      <c r="AJ59" s="66"/>
      <c r="AK59" s="60"/>
      <c r="AL59" s="66"/>
      <c r="AM59" s="60"/>
      <c r="AN59" s="66"/>
      <c r="AO59" s="60"/>
      <c r="AP59" s="66"/>
      <c r="AQ59" s="61"/>
      <c r="AR59" s="61"/>
      <c r="AS59" s="61"/>
      <c r="AT59" s="61"/>
      <c r="AU59" s="61"/>
      <c r="AV59" s="61"/>
      <c r="AW59" s="60"/>
      <c r="AX59" s="61"/>
      <c r="AY59" s="6"/>
      <c r="AZ59" s="6"/>
      <c r="BA59" s="22"/>
      <c r="BB59" s="6"/>
      <c r="BC59" s="6"/>
      <c r="BL59" s="60"/>
    </row>
    <row r="60" spans="1:65" s="14" customFormat="1" ht="11.25" x14ac:dyDescent="0.2">
      <c r="A60" s="4">
        <f t="shared" si="53"/>
        <v>60005010</v>
      </c>
      <c r="B60" s="4" t="str">
        <f t="shared" si="53"/>
        <v>2009-10</v>
      </c>
      <c r="C60" s="40" t="str">
        <f t="shared" si="53"/>
        <v>WCU</v>
      </c>
      <c r="D60" s="38">
        <f t="shared" si="54"/>
        <v>5.8320360397865638E-2</v>
      </c>
      <c r="E60" s="39">
        <f t="shared" si="55"/>
        <v>0.66148455885996438</v>
      </c>
      <c r="F60" s="26">
        <f t="shared" si="56"/>
        <v>3.2561815723833276</v>
      </c>
      <c r="G60" s="26">
        <f t="shared" si="57"/>
        <v>1.4241999999999999</v>
      </c>
      <c r="H60" s="123">
        <f t="shared" si="58"/>
        <v>1.5609303716502467</v>
      </c>
      <c r="I60" s="123"/>
      <c r="J60" s="26">
        <f t="shared" si="59"/>
        <v>0</v>
      </c>
      <c r="K60" s="26">
        <f t="shared" si="60"/>
        <v>0</v>
      </c>
      <c r="L60" s="26">
        <f t="shared" si="61"/>
        <v>0</v>
      </c>
      <c r="M60" s="26">
        <f t="shared" si="62"/>
        <v>0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0"/>
      <c r="AJ60" s="66"/>
      <c r="AK60" s="60"/>
      <c r="AL60" s="66"/>
      <c r="AM60" s="60"/>
      <c r="AN60" s="66"/>
      <c r="AO60" s="60"/>
      <c r="AP60" s="66"/>
      <c r="AQ60" s="61"/>
      <c r="AR60" s="61"/>
      <c r="AS60" s="61"/>
      <c r="AT60" s="61"/>
      <c r="AU60" s="61"/>
      <c r="AV60" s="61"/>
      <c r="AW60" s="60"/>
      <c r="AX60" s="61"/>
      <c r="AY60" s="6"/>
      <c r="AZ60" s="6"/>
      <c r="BA60" s="22"/>
      <c r="BB60" s="6"/>
      <c r="BC60" s="6"/>
      <c r="BL60" s="60"/>
    </row>
    <row r="61" spans="1:65" s="14" customFormat="1" ht="11.25" x14ac:dyDescent="0.2">
      <c r="A61" s="4">
        <f t="shared" si="53"/>
        <v>60005010</v>
      </c>
      <c r="B61" s="4" t="str">
        <f t="shared" si="53"/>
        <v>2010-11</v>
      </c>
      <c r="C61" s="40" t="str">
        <f t="shared" si="53"/>
        <v>WCU</v>
      </c>
      <c r="D61" s="38">
        <f t="shared" si="54"/>
        <v>5.740581978029817E-2</v>
      </c>
      <c r="E61" s="39">
        <f t="shared" si="55"/>
        <v>0.58164462992576416</v>
      </c>
      <c r="F61" s="26">
        <f t="shared" si="56"/>
        <v>2.837996009753935</v>
      </c>
      <c r="G61" s="26">
        <f t="shared" si="57"/>
        <v>0</v>
      </c>
      <c r="H61" s="123">
        <f t="shared" si="58"/>
        <v>1.8948780948780948</v>
      </c>
      <c r="I61" s="123"/>
      <c r="J61" s="26">
        <f t="shared" si="59"/>
        <v>0</v>
      </c>
      <c r="K61" s="26">
        <f t="shared" si="60"/>
        <v>0</v>
      </c>
      <c r="L61" s="26">
        <f t="shared" si="61"/>
        <v>0</v>
      </c>
      <c r="M61" s="26">
        <f t="shared" si="62"/>
        <v>0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0"/>
      <c r="AJ61" s="66"/>
      <c r="AK61" s="60"/>
      <c r="AL61" s="66"/>
      <c r="AM61" s="60"/>
      <c r="AN61" s="66"/>
      <c r="AO61" s="60"/>
      <c r="AP61" s="66"/>
      <c r="AQ61" s="61"/>
      <c r="AR61" s="61"/>
      <c r="AS61" s="61"/>
      <c r="AT61" s="61"/>
      <c r="AU61" s="61"/>
      <c r="AV61" s="61"/>
      <c r="AW61" s="60"/>
      <c r="AX61" s="61"/>
      <c r="AY61" s="6"/>
      <c r="AZ61" s="6"/>
      <c r="BA61" s="22"/>
      <c r="BB61" s="6"/>
      <c r="BC61" s="6"/>
      <c r="BL61" s="60"/>
    </row>
    <row r="62" spans="1:65" s="14" customFormat="1" ht="11.25" x14ac:dyDescent="0.2">
      <c r="A62" s="4">
        <f t="shared" si="53"/>
        <v>60005010</v>
      </c>
      <c r="B62" s="4" t="str">
        <f t="shared" si="53"/>
        <v>2011-12</v>
      </c>
      <c r="C62" s="40" t="str">
        <f t="shared" si="53"/>
        <v>WCU</v>
      </c>
      <c r="D62" s="38">
        <f t="shared" si="54"/>
        <v>6.0713702588775544E-2</v>
      </c>
      <c r="E62" s="39">
        <f t="shared" si="55"/>
        <v>0.55637150223772458</v>
      </c>
      <c r="F62" s="26">
        <f t="shared" si="56"/>
        <v>3.3222740814048555</v>
      </c>
      <c r="G62" s="26">
        <f t="shared" si="57"/>
        <v>0</v>
      </c>
      <c r="H62" s="123">
        <f t="shared" si="58"/>
        <v>2.0311051852091646</v>
      </c>
      <c r="I62" s="123"/>
      <c r="J62" s="26">
        <f t="shared" si="59"/>
        <v>0</v>
      </c>
      <c r="K62" s="26">
        <f t="shared" si="60"/>
        <v>0</v>
      </c>
      <c r="L62" s="26">
        <f t="shared" si="61"/>
        <v>0</v>
      </c>
      <c r="M62" s="26">
        <f t="shared" si="62"/>
        <v>0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0"/>
      <c r="AJ62" s="66"/>
      <c r="AK62" s="60"/>
      <c r="AL62" s="66"/>
      <c r="AM62" s="60"/>
      <c r="AN62" s="66"/>
      <c r="AO62" s="60"/>
      <c r="AP62" s="66"/>
      <c r="AQ62" s="61"/>
      <c r="AR62" s="61"/>
      <c r="AS62" s="61"/>
      <c r="AT62" s="61"/>
      <c r="AU62" s="61"/>
      <c r="AV62" s="61"/>
      <c r="AW62" s="60"/>
      <c r="AX62" s="61"/>
      <c r="AY62" s="6"/>
      <c r="AZ62" s="6"/>
      <c r="BA62" s="22"/>
      <c r="BB62" s="6"/>
      <c r="BC62" s="6"/>
      <c r="BL62" s="60"/>
    </row>
    <row r="63" spans="1:65" s="14" customFormat="1" ht="11.25" customHeight="1" x14ac:dyDescent="0.2">
      <c r="A63" s="4">
        <f t="shared" si="53"/>
        <v>60005010</v>
      </c>
      <c r="B63" s="4" t="str">
        <f t="shared" si="53"/>
        <v>2012-13</v>
      </c>
      <c r="C63" s="40" t="str">
        <f t="shared" si="53"/>
        <v>WCU</v>
      </c>
      <c r="D63" s="38">
        <f t="shared" si="54"/>
        <v>6.4339865537185667E-2</v>
      </c>
      <c r="E63" s="39">
        <f t="shared" si="55"/>
        <v>0.56060236142920117</v>
      </c>
      <c r="F63" s="26">
        <f t="shared" si="56"/>
        <v>3.5107220678701845</v>
      </c>
      <c r="G63" s="26">
        <f t="shared" si="57"/>
        <v>0</v>
      </c>
      <c r="H63" s="123">
        <f t="shared" si="58"/>
        <v>1.5884838692494807</v>
      </c>
      <c r="I63" s="123"/>
      <c r="J63" s="26">
        <f t="shared" si="59"/>
        <v>0</v>
      </c>
      <c r="K63" s="26">
        <f t="shared" si="60"/>
        <v>0</v>
      </c>
      <c r="L63" s="26">
        <f t="shared" si="61"/>
        <v>0</v>
      </c>
      <c r="M63" s="26">
        <f t="shared" si="62"/>
        <v>0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0"/>
      <c r="AJ63" s="66"/>
      <c r="AK63" s="60"/>
      <c r="AL63" s="66"/>
      <c r="AM63" s="60"/>
      <c r="AN63" s="66"/>
      <c r="AO63" s="60"/>
      <c r="AP63" s="66"/>
      <c r="AQ63" s="61"/>
      <c r="AR63" s="61"/>
      <c r="AS63" s="61"/>
      <c r="AT63" s="61"/>
      <c r="AU63" s="61"/>
      <c r="AV63" s="61"/>
      <c r="AW63" s="60"/>
      <c r="AX63" s="61"/>
      <c r="AY63" s="6"/>
      <c r="AZ63" s="6"/>
      <c r="BA63" s="22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1"/>
    </row>
    <row r="64" spans="1:65" s="14" customFormat="1" ht="11.25" x14ac:dyDescent="0.2">
      <c r="A64" s="4">
        <f t="shared" si="53"/>
        <v>60005010</v>
      </c>
      <c r="B64" s="4" t="str">
        <f t="shared" si="53"/>
        <v>2013-14</v>
      </c>
      <c r="C64" s="40" t="str">
        <f t="shared" si="53"/>
        <v>WCU</v>
      </c>
      <c r="D64" s="38">
        <f t="shared" si="54"/>
        <v>6.5027313587717545E-2</v>
      </c>
      <c r="E64" s="39">
        <f t="shared" si="55"/>
        <v>0.60320629851837504</v>
      </c>
      <c r="F64" s="26">
        <f t="shared" si="56"/>
        <v>3.4181428614845357</v>
      </c>
      <c r="G64" s="26">
        <f t="shared" si="57"/>
        <v>2.1384999693933766</v>
      </c>
      <c r="H64" s="123">
        <f t="shared" si="58"/>
        <v>2.1383191709979714</v>
      </c>
      <c r="I64" s="123"/>
      <c r="J64" s="26">
        <f t="shared" si="59"/>
        <v>0</v>
      </c>
      <c r="K64" s="26">
        <f t="shared" si="60"/>
        <v>0</v>
      </c>
      <c r="L64" s="26">
        <f t="shared" si="61"/>
        <v>0</v>
      </c>
      <c r="M64" s="26">
        <f t="shared" si="62"/>
        <v>0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0"/>
      <c r="AJ64" s="66"/>
      <c r="AK64" s="60"/>
      <c r="AL64" s="66"/>
      <c r="AM64" s="60"/>
      <c r="AN64" s="66"/>
      <c r="AO64" s="60"/>
      <c r="AP64" s="66"/>
      <c r="AQ64" s="61"/>
      <c r="AR64" s="61"/>
      <c r="AS64" s="61"/>
      <c r="AT64" s="61"/>
      <c r="AU64" s="61"/>
      <c r="AV64" s="61"/>
      <c r="AW64" s="60"/>
      <c r="AX64" s="61"/>
      <c r="AY64" s="6"/>
      <c r="AZ64" s="6"/>
      <c r="BA64" s="22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1"/>
      <c r="BM64" s="6"/>
    </row>
    <row r="65" spans="1:65" s="14" customFormat="1" ht="11.25" x14ac:dyDescent="0.2">
      <c r="A65" s="4">
        <f t="shared" si="53"/>
        <v>60005010</v>
      </c>
      <c r="B65" s="4" t="str">
        <f t="shared" si="53"/>
        <v>2014-15</v>
      </c>
      <c r="C65" s="40" t="str">
        <f t="shared" si="53"/>
        <v>WCU</v>
      </c>
      <c r="D65" s="38">
        <f t="shared" si="54"/>
        <v>6.504245903447807E-2</v>
      </c>
      <c r="E65" s="39">
        <f t="shared" si="55"/>
        <v>0.53463607789128065</v>
      </c>
      <c r="F65" s="26">
        <f t="shared" si="56"/>
        <v>2.5528284541235271</v>
      </c>
      <c r="G65" s="26">
        <f t="shared" si="57"/>
        <v>2.8529</v>
      </c>
      <c r="H65" s="123">
        <f t="shared" si="58"/>
        <v>1.6471458385350664</v>
      </c>
      <c r="I65" s="123"/>
      <c r="J65" s="26">
        <f t="shared" si="59"/>
        <v>0</v>
      </c>
      <c r="K65" s="26">
        <f t="shared" si="60"/>
        <v>0</v>
      </c>
      <c r="L65" s="26">
        <f t="shared" si="61"/>
        <v>0</v>
      </c>
      <c r="M65" s="26">
        <f t="shared" si="62"/>
        <v>0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0"/>
      <c r="AJ65" s="66"/>
      <c r="AK65" s="60"/>
      <c r="AL65" s="66"/>
      <c r="AM65" s="60"/>
      <c r="AN65" s="66"/>
      <c r="AO65" s="60"/>
      <c r="AP65" s="66"/>
      <c r="AQ65" s="61"/>
      <c r="AR65" s="61"/>
      <c r="AS65" s="61"/>
      <c r="AT65" s="61"/>
      <c r="AU65" s="61"/>
      <c r="AV65" s="61"/>
      <c r="AW65" s="60"/>
      <c r="AX65" s="61"/>
      <c r="AY65" s="6"/>
      <c r="AZ65" s="6"/>
      <c r="BA65" s="22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1"/>
    </row>
    <row r="66" spans="1:65" s="14" customFormat="1" ht="11.25" x14ac:dyDescent="0.2">
      <c r="A66" s="4">
        <f t="shared" si="53"/>
        <v>60005010</v>
      </c>
      <c r="B66" s="4" t="str">
        <f t="shared" si="53"/>
        <v>2015-16</v>
      </c>
      <c r="C66" s="40" t="str">
        <f t="shared" si="53"/>
        <v>WCU</v>
      </c>
      <c r="D66" s="38">
        <f t="shared" si="54"/>
        <v>6.5727340702654402E-2</v>
      </c>
      <c r="E66" s="39">
        <f t="shared" si="55"/>
        <v>0.48599242870422271</v>
      </c>
      <c r="F66" s="26">
        <f t="shared" si="56"/>
        <v>1.475179869790429</v>
      </c>
      <c r="G66" s="26">
        <f t="shared" si="57"/>
        <v>2.7</v>
      </c>
      <c r="H66" s="123">
        <f t="shared" si="58"/>
        <v>0.90498977833005967</v>
      </c>
      <c r="I66" s="123"/>
      <c r="J66" s="26">
        <f t="shared" si="59"/>
        <v>0</v>
      </c>
      <c r="K66" s="26">
        <f t="shared" si="60"/>
        <v>0</v>
      </c>
      <c r="L66" s="26">
        <f t="shared" si="61"/>
        <v>0</v>
      </c>
      <c r="M66" s="26">
        <f t="shared" si="62"/>
        <v>0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0"/>
      <c r="AJ66" s="66"/>
      <c r="AK66" s="60"/>
      <c r="AL66" s="66"/>
      <c r="AM66" s="60"/>
      <c r="AN66" s="66"/>
      <c r="AO66" s="60"/>
      <c r="AP66" s="66"/>
      <c r="AQ66" s="61"/>
      <c r="AR66" s="61"/>
      <c r="AS66" s="61"/>
      <c r="AT66" s="61"/>
      <c r="AU66" s="61"/>
      <c r="AV66" s="61"/>
      <c r="AW66" s="60"/>
      <c r="AX66" s="61"/>
      <c r="AY66" s="6"/>
      <c r="AZ66" s="6"/>
      <c r="BA66" s="22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1"/>
    </row>
    <row r="67" spans="1:65" s="14" customFormat="1" ht="11.25" x14ac:dyDescent="0.2">
      <c r="A67" s="4">
        <f t="shared" si="53"/>
        <v>60005010</v>
      </c>
      <c r="B67" s="4" t="str">
        <f t="shared" si="53"/>
        <v>2016-17</v>
      </c>
      <c r="C67" s="40" t="str">
        <f t="shared" si="53"/>
        <v>WCU</v>
      </c>
      <c r="D67" s="38">
        <f t="shared" si="54"/>
        <v>6.3479511969106006E-2</v>
      </c>
      <c r="E67" s="39">
        <f t="shared" si="55"/>
        <v>0.45533788788857393</v>
      </c>
      <c r="F67" s="26">
        <f t="shared" si="56"/>
        <v>1.9478205612180697</v>
      </c>
      <c r="G67" s="26">
        <f t="shared" si="57"/>
        <v>2.7</v>
      </c>
      <c r="H67" s="123">
        <f t="shared" si="58"/>
        <v>1.0820898384004383</v>
      </c>
      <c r="I67" s="123"/>
      <c r="J67" s="26">
        <f t="shared" si="59"/>
        <v>0</v>
      </c>
      <c r="K67" s="26">
        <f t="shared" si="60"/>
        <v>0</v>
      </c>
      <c r="L67" s="26">
        <f t="shared" si="61"/>
        <v>0</v>
      </c>
      <c r="M67" s="26">
        <f t="shared" si="62"/>
        <v>0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0"/>
      <c r="AJ67" s="66"/>
      <c r="AK67" s="60"/>
      <c r="AL67" s="66"/>
      <c r="AM67" s="60"/>
      <c r="AN67" s="66"/>
      <c r="AO67" s="60"/>
      <c r="AP67" s="66"/>
      <c r="AQ67" s="61"/>
      <c r="AR67" s="61"/>
      <c r="AS67" s="61"/>
      <c r="AT67" s="61"/>
      <c r="AU67" s="61"/>
      <c r="AV67" s="61"/>
      <c r="AW67" s="60"/>
      <c r="AX67" s="61"/>
      <c r="AY67" s="6"/>
      <c r="AZ67" s="6"/>
      <c r="BA67" s="22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1"/>
    </row>
    <row r="68" spans="1:65" s="14" customFormat="1" ht="11.25" x14ac:dyDescent="0.2">
      <c r="A68" s="4">
        <f t="shared" si="53"/>
        <v>60005010</v>
      </c>
      <c r="B68" s="4" t="str">
        <f t="shared" si="53"/>
        <v>2017-18</v>
      </c>
      <c r="C68" s="40" t="str">
        <f t="shared" si="53"/>
        <v>WCU</v>
      </c>
      <c r="D68" s="38">
        <f t="shared" si="54"/>
        <v>0</v>
      </c>
      <c r="E68" s="39">
        <f t="shared" si="55"/>
        <v>0</v>
      </c>
      <c r="F68" s="26">
        <f t="shared" si="56"/>
        <v>0</v>
      </c>
      <c r="G68" s="26">
        <f t="shared" si="57"/>
        <v>0</v>
      </c>
      <c r="H68" s="123">
        <f t="shared" si="58"/>
        <v>0</v>
      </c>
      <c r="I68" s="123"/>
      <c r="J68" s="26">
        <f t="shared" si="59"/>
        <v>0</v>
      </c>
      <c r="K68" s="26">
        <f t="shared" si="60"/>
        <v>0</v>
      </c>
      <c r="L68" s="26">
        <f t="shared" si="61"/>
        <v>0</v>
      </c>
      <c r="M68" s="26">
        <f t="shared" si="62"/>
        <v>0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0"/>
      <c r="AJ68" s="66"/>
      <c r="AK68" s="60"/>
      <c r="AL68" s="66"/>
      <c r="AM68" s="60"/>
      <c r="AN68" s="66"/>
      <c r="AO68" s="60"/>
      <c r="AP68" s="66"/>
      <c r="AQ68" s="61"/>
      <c r="AR68" s="61"/>
      <c r="AS68" s="61"/>
      <c r="AT68" s="61"/>
      <c r="AU68" s="61"/>
      <c r="AV68" s="61"/>
      <c r="AW68" s="60"/>
      <c r="AX68" s="61"/>
      <c r="AY68" s="6"/>
      <c r="AZ68" s="6"/>
      <c r="BA68" s="22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1"/>
    </row>
    <row r="69" spans="1:65" s="14" customFormat="1" ht="11.25" x14ac:dyDescent="0.2">
      <c r="A69" s="4">
        <f t="shared" ref="A69:C75" si="63">A18</f>
        <v>60005010</v>
      </c>
      <c r="B69" s="4" t="str">
        <f t="shared" si="63"/>
        <v>2018-19</v>
      </c>
      <c r="C69" s="40" t="str">
        <f t="shared" si="63"/>
        <v>WCU</v>
      </c>
      <c r="D69" s="38">
        <f t="shared" si="54"/>
        <v>0</v>
      </c>
      <c r="E69" s="39">
        <f t="shared" si="55"/>
        <v>0</v>
      </c>
      <c r="F69" s="26">
        <f t="shared" si="56"/>
        <v>0</v>
      </c>
      <c r="G69" s="26">
        <f t="shared" si="57"/>
        <v>0</v>
      </c>
      <c r="H69" s="123">
        <f t="shared" si="58"/>
        <v>0</v>
      </c>
      <c r="I69" s="123"/>
      <c r="J69" s="26">
        <f t="shared" si="59"/>
        <v>0</v>
      </c>
      <c r="K69" s="26">
        <f t="shared" si="60"/>
        <v>0</v>
      </c>
      <c r="L69" s="26">
        <f t="shared" si="61"/>
        <v>0</v>
      </c>
      <c r="M69" s="26">
        <f t="shared" si="62"/>
        <v>0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0"/>
      <c r="AJ69" s="66"/>
      <c r="AK69" s="60"/>
      <c r="AL69" s="66"/>
      <c r="AM69" s="60"/>
      <c r="AN69" s="66"/>
      <c r="AO69" s="60"/>
      <c r="AP69" s="66"/>
      <c r="AQ69" s="61"/>
      <c r="AR69" s="61"/>
      <c r="AS69" s="61"/>
      <c r="AT69" s="61"/>
      <c r="AU69" s="61"/>
      <c r="AV69" s="61"/>
      <c r="AW69" s="60"/>
      <c r="AX69" s="61"/>
      <c r="AY69" s="6"/>
      <c r="AZ69" s="6"/>
      <c r="BA69" s="22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1"/>
    </row>
    <row r="70" spans="1:65" s="14" customFormat="1" ht="11.25" x14ac:dyDescent="0.2">
      <c r="A70" s="4">
        <f t="shared" si="63"/>
        <v>60005010</v>
      </c>
      <c r="B70" s="4" t="str">
        <f t="shared" si="63"/>
        <v>2019-20</v>
      </c>
      <c r="C70" s="40" t="str">
        <f t="shared" si="63"/>
        <v>WCU</v>
      </c>
      <c r="D70" s="38">
        <f t="shared" si="54"/>
        <v>0</v>
      </c>
      <c r="E70" s="39">
        <f t="shared" si="55"/>
        <v>0</v>
      </c>
      <c r="F70" s="26">
        <f t="shared" si="56"/>
        <v>0</v>
      </c>
      <c r="G70" s="26">
        <f t="shared" si="57"/>
        <v>0</v>
      </c>
      <c r="H70" s="123">
        <f t="shared" si="58"/>
        <v>0</v>
      </c>
      <c r="I70" s="123"/>
      <c r="J70" s="26">
        <f t="shared" si="59"/>
        <v>0</v>
      </c>
      <c r="K70" s="26">
        <f t="shared" si="60"/>
        <v>0</v>
      </c>
      <c r="L70" s="26">
        <f t="shared" si="61"/>
        <v>0</v>
      </c>
      <c r="M70" s="26">
        <f t="shared" si="62"/>
        <v>0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0"/>
      <c r="AJ70" s="66"/>
      <c r="AK70" s="60"/>
      <c r="AL70" s="66"/>
      <c r="AM70" s="60"/>
      <c r="AN70" s="66"/>
      <c r="AO70" s="60"/>
      <c r="AP70" s="66"/>
      <c r="AQ70" s="61"/>
      <c r="AR70" s="61"/>
      <c r="AS70" s="61"/>
      <c r="AT70" s="61"/>
      <c r="AU70" s="61"/>
      <c r="AV70" s="61"/>
      <c r="AW70" s="60"/>
      <c r="AX70" s="61"/>
      <c r="AY70" s="6"/>
      <c r="AZ70" s="6"/>
      <c r="BA70" s="22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1"/>
    </row>
    <row r="71" spans="1:65" s="14" customFormat="1" ht="11.25" x14ac:dyDescent="0.2">
      <c r="A71" s="4">
        <f t="shared" si="63"/>
        <v>60005010</v>
      </c>
      <c r="B71" s="4" t="str">
        <f t="shared" si="63"/>
        <v>2020-21</v>
      </c>
      <c r="C71" s="40" t="str">
        <f t="shared" si="63"/>
        <v>WCU</v>
      </c>
      <c r="D71" s="38">
        <f t="shared" si="54"/>
        <v>0</v>
      </c>
      <c r="E71" s="39">
        <f t="shared" si="55"/>
        <v>0</v>
      </c>
      <c r="F71" s="26">
        <f t="shared" si="56"/>
        <v>0</v>
      </c>
      <c r="G71" s="26">
        <f t="shared" si="57"/>
        <v>0</v>
      </c>
      <c r="H71" s="123">
        <f t="shared" si="58"/>
        <v>0</v>
      </c>
      <c r="I71" s="123"/>
      <c r="J71" s="26">
        <f t="shared" si="59"/>
        <v>0</v>
      </c>
      <c r="K71" s="26">
        <f t="shared" si="60"/>
        <v>0</v>
      </c>
      <c r="L71" s="26">
        <f t="shared" si="61"/>
        <v>0</v>
      </c>
      <c r="M71" s="26">
        <f t="shared" si="62"/>
        <v>0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0"/>
      <c r="AJ71" s="66"/>
      <c r="AK71" s="60"/>
      <c r="AL71" s="66"/>
      <c r="AM71" s="60"/>
      <c r="AN71" s="66"/>
      <c r="AO71" s="60"/>
      <c r="AP71" s="66"/>
      <c r="AQ71" s="61"/>
      <c r="AR71" s="61"/>
      <c r="AS71" s="61"/>
      <c r="AT71" s="61"/>
      <c r="AU71" s="61"/>
      <c r="AV71" s="61"/>
      <c r="AW71" s="60"/>
      <c r="AX71" s="61"/>
      <c r="AY71" s="6"/>
      <c r="AZ71" s="6"/>
      <c r="BA71" s="22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1"/>
    </row>
    <row r="72" spans="1:65" s="14" customFormat="1" ht="11.25" x14ac:dyDescent="0.2">
      <c r="A72" s="4">
        <f t="shared" si="63"/>
        <v>60005010</v>
      </c>
      <c r="B72" s="4" t="str">
        <f t="shared" si="63"/>
        <v>2021-22</v>
      </c>
      <c r="C72" s="40" t="str">
        <f t="shared" si="63"/>
        <v>WCU</v>
      </c>
      <c r="D72" s="38">
        <f t="shared" si="54"/>
        <v>0</v>
      </c>
      <c r="E72" s="39">
        <f t="shared" si="55"/>
        <v>0</v>
      </c>
      <c r="F72" s="26">
        <f t="shared" si="56"/>
        <v>0</v>
      </c>
      <c r="G72" s="26">
        <f t="shared" si="57"/>
        <v>0</v>
      </c>
      <c r="H72" s="123">
        <f t="shared" si="58"/>
        <v>0</v>
      </c>
      <c r="I72" s="123"/>
      <c r="J72" s="26">
        <f t="shared" si="59"/>
        <v>0</v>
      </c>
      <c r="K72" s="26">
        <f t="shared" si="60"/>
        <v>0</v>
      </c>
      <c r="L72" s="26">
        <f t="shared" si="61"/>
        <v>0</v>
      </c>
      <c r="M72" s="26">
        <f t="shared" si="62"/>
        <v>0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0"/>
      <c r="AJ72" s="66"/>
      <c r="AK72" s="60"/>
      <c r="AL72" s="66"/>
      <c r="AM72" s="60"/>
      <c r="AN72" s="66"/>
      <c r="AO72" s="60"/>
      <c r="AP72" s="66"/>
      <c r="AQ72" s="61"/>
      <c r="AR72" s="61"/>
      <c r="AS72" s="61"/>
      <c r="AT72" s="61"/>
      <c r="AU72" s="61"/>
      <c r="AV72" s="61"/>
      <c r="AW72" s="60"/>
      <c r="AX72" s="61"/>
      <c r="AY72" s="6"/>
      <c r="AZ72" s="6"/>
      <c r="BA72" s="22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1"/>
      <c r="BM72" s="6"/>
    </row>
    <row r="73" spans="1:65" s="14" customFormat="1" ht="11.25" x14ac:dyDescent="0.2">
      <c r="A73" s="4">
        <f t="shared" si="63"/>
        <v>60005010</v>
      </c>
      <c r="B73" s="4" t="str">
        <f t="shared" si="63"/>
        <v>2022-23</v>
      </c>
      <c r="C73" s="40" t="str">
        <f t="shared" si="63"/>
        <v>WCU</v>
      </c>
      <c r="D73" s="38">
        <f t="shared" si="54"/>
        <v>0</v>
      </c>
      <c r="E73" s="39">
        <f t="shared" si="55"/>
        <v>0</v>
      </c>
      <c r="F73" s="26">
        <f t="shared" si="56"/>
        <v>0</v>
      </c>
      <c r="G73" s="26">
        <f t="shared" si="57"/>
        <v>0</v>
      </c>
      <c r="H73" s="123">
        <f t="shared" si="58"/>
        <v>0</v>
      </c>
      <c r="I73" s="123"/>
      <c r="J73" s="26">
        <f t="shared" si="59"/>
        <v>0</v>
      </c>
      <c r="K73" s="26">
        <f t="shared" si="60"/>
        <v>0</v>
      </c>
      <c r="L73" s="26">
        <f t="shared" si="61"/>
        <v>0</v>
      </c>
      <c r="M73" s="26">
        <f t="shared" si="62"/>
        <v>0</v>
      </c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0"/>
      <c r="AJ73" s="66"/>
      <c r="AK73" s="60"/>
      <c r="AL73" s="66"/>
      <c r="AM73" s="60"/>
      <c r="AN73" s="66"/>
      <c r="AO73" s="60"/>
      <c r="AP73" s="66"/>
      <c r="AQ73" s="61"/>
      <c r="AR73" s="61"/>
      <c r="AS73" s="61"/>
      <c r="AT73" s="61"/>
      <c r="AU73" s="61"/>
      <c r="AV73" s="61"/>
      <c r="AW73" s="60"/>
      <c r="AX73" s="61"/>
      <c r="AY73" s="6"/>
      <c r="AZ73" s="6"/>
      <c r="BA73" s="22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1"/>
      <c r="BM73" s="6"/>
    </row>
    <row r="74" spans="1:65" s="14" customFormat="1" ht="11.25" x14ac:dyDescent="0.2">
      <c r="A74" s="4">
        <f t="shared" si="63"/>
        <v>60005010</v>
      </c>
      <c r="B74" s="4" t="str">
        <f t="shared" si="63"/>
        <v>2023-24</v>
      </c>
      <c r="C74" s="40" t="str">
        <f t="shared" si="63"/>
        <v>WCU</v>
      </c>
      <c r="D74" s="38">
        <f t="shared" si="54"/>
        <v>0</v>
      </c>
      <c r="E74" s="39">
        <f t="shared" si="55"/>
        <v>0</v>
      </c>
      <c r="F74" s="26">
        <f t="shared" si="56"/>
        <v>0</v>
      </c>
      <c r="G74" s="26">
        <f t="shared" si="57"/>
        <v>0</v>
      </c>
      <c r="H74" s="123">
        <f t="shared" si="58"/>
        <v>0</v>
      </c>
      <c r="I74" s="123"/>
      <c r="J74" s="26">
        <f t="shared" si="59"/>
        <v>0</v>
      </c>
      <c r="K74" s="26">
        <f t="shared" si="60"/>
        <v>0</v>
      </c>
      <c r="L74" s="26">
        <f t="shared" si="61"/>
        <v>0</v>
      </c>
      <c r="M74" s="26">
        <f t="shared" si="62"/>
        <v>0</v>
      </c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0"/>
      <c r="AJ74" s="66"/>
      <c r="AK74" s="60"/>
      <c r="AL74" s="66"/>
      <c r="AM74" s="60"/>
      <c r="AN74" s="66"/>
      <c r="AO74" s="60"/>
      <c r="AP74" s="66"/>
      <c r="AQ74" s="61"/>
      <c r="AR74" s="61"/>
      <c r="AS74" s="61"/>
      <c r="AT74" s="61"/>
      <c r="AU74" s="61"/>
      <c r="AV74" s="61"/>
      <c r="AW74" s="60"/>
      <c r="AX74" s="61"/>
      <c r="AY74" s="6"/>
      <c r="AZ74" s="6"/>
      <c r="BA74" s="22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1"/>
      <c r="BM74" s="6"/>
    </row>
    <row r="75" spans="1:65" s="14" customFormat="1" ht="11.25" x14ac:dyDescent="0.2">
      <c r="A75" s="4">
        <f t="shared" si="63"/>
        <v>60005010</v>
      </c>
      <c r="B75" s="4" t="str">
        <f t="shared" si="63"/>
        <v>2024-25</v>
      </c>
      <c r="C75" s="40" t="str">
        <f t="shared" si="63"/>
        <v>WCU</v>
      </c>
      <c r="D75" s="38">
        <f t="shared" si="54"/>
        <v>0</v>
      </c>
      <c r="E75" s="39">
        <f t="shared" si="55"/>
        <v>0</v>
      </c>
      <c r="F75" s="26">
        <f t="shared" si="56"/>
        <v>0</v>
      </c>
      <c r="G75" s="26">
        <f t="shared" si="57"/>
        <v>0</v>
      </c>
      <c r="H75" s="123">
        <f t="shared" si="58"/>
        <v>0</v>
      </c>
      <c r="I75" s="123"/>
      <c r="J75" s="26">
        <f t="shared" si="59"/>
        <v>0</v>
      </c>
      <c r="K75" s="26">
        <f t="shared" si="60"/>
        <v>0</v>
      </c>
      <c r="L75" s="26">
        <f t="shared" si="61"/>
        <v>0</v>
      </c>
      <c r="M75" s="26">
        <f t="shared" si="62"/>
        <v>0</v>
      </c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0"/>
      <c r="AJ75" s="66"/>
      <c r="AK75" s="60"/>
      <c r="AL75" s="66"/>
      <c r="AM75" s="60"/>
      <c r="AN75" s="66"/>
      <c r="AO75" s="60"/>
      <c r="AP75" s="66"/>
      <c r="AQ75" s="61"/>
      <c r="AR75" s="61"/>
      <c r="AS75" s="61"/>
      <c r="AT75" s="61"/>
      <c r="AU75" s="61"/>
      <c r="AV75" s="61"/>
      <c r="AW75" s="60"/>
      <c r="AX75" s="61"/>
      <c r="AY75" s="6"/>
      <c r="AZ75" s="6"/>
      <c r="BA75" s="22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1"/>
      <c r="BM75" s="6"/>
    </row>
    <row r="76" spans="1:65" s="14" customFormat="1" ht="12" thickBot="1" x14ac:dyDescent="0.25">
      <c r="A76" s="4"/>
      <c r="B76" s="37"/>
      <c r="C76" s="6"/>
      <c r="D76" s="41"/>
      <c r="E76" s="36"/>
      <c r="F76" s="36"/>
      <c r="G76" s="36"/>
      <c r="H76" s="42"/>
      <c r="I76" s="42"/>
      <c r="J76" s="3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0"/>
      <c r="AJ76" s="66"/>
      <c r="AK76" s="60"/>
      <c r="AL76" s="66"/>
      <c r="AM76" s="60"/>
      <c r="AN76" s="66"/>
      <c r="AO76" s="60"/>
      <c r="AP76" s="66"/>
      <c r="AQ76" s="61"/>
      <c r="AR76" s="61"/>
      <c r="AS76" s="61"/>
      <c r="AT76" s="61"/>
      <c r="AU76" s="61"/>
      <c r="AV76" s="61"/>
      <c r="AW76" s="60"/>
      <c r="AX76" s="61"/>
      <c r="AY76" s="6"/>
      <c r="AZ76" s="6"/>
      <c r="BA76" s="22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1"/>
      <c r="BM76" s="6"/>
    </row>
    <row r="77" spans="1:65" s="14" customFormat="1" ht="11.25" customHeight="1" x14ac:dyDescent="0.2">
      <c r="A77" s="4"/>
      <c r="B77" s="37"/>
      <c r="C77" s="6"/>
      <c r="D77" s="132" t="s">
        <v>78</v>
      </c>
      <c r="E77" s="133"/>
      <c r="F77" s="133"/>
      <c r="G77" s="133"/>
      <c r="H77" s="133"/>
      <c r="I77" s="133"/>
      <c r="J77" s="133"/>
      <c r="K77" s="133"/>
      <c r="L77" s="133"/>
      <c r="M77" s="134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0"/>
      <c r="AJ77" s="66"/>
      <c r="AK77" s="60"/>
      <c r="AL77" s="66"/>
      <c r="AM77" s="60"/>
      <c r="AN77" s="66"/>
      <c r="AO77" s="60"/>
      <c r="AP77" s="66"/>
      <c r="AQ77" s="61"/>
      <c r="AR77" s="61"/>
      <c r="AS77" s="61"/>
      <c r="AT77" s="61"/>
      <c r="AU77" s="61"/>
      <c r="AV77" s="61"/>
      <c r="AW77" s="60"/>
      <c r="AX77" s="61"/>
      <c r="AY77" s="6"/>
      <c r="AZ77" s="6"/>
      <c r="BA77" s="22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1"/>
      <c r="BM77" s="6"/>
    </row>
    <row r="78" spans="1:65" s="14" customFormat="1" ht="11.25" customHeight="1" x14ac:dyDescent="0.2">
      <c r="A78" s="4">
        <f>A2</f>
        <v>60005010</v>
      </c>
      <c r="B78" s="4" t="str">
        <f>B2</f>
        <v xml:space="preserve"> 2002-03</v>
      </c>
      <c r="C78" s="6" t="str">
        <f>C2</f>
        <v>WCU</v>
      </c>
      <c r="D78" s="26">
        <f t="shared" ref="D78:D100" si="64">(D53/3412)*100000</f>
        <v>1.3565507241506971</v>
      </c>
      <c r="E78" s="26">
        <f t="shared" ref="E78:E100" si="65">E53</f>
        <v>7.6863393802645327E-2</v>
      </c>
      <c r="F78" s="26">
        <f t="shared" ref="F78:F100" si="66">(F53/140000)*100000</f>
        <v>0.76109062915987924</v>
      </c>
      <c r="G78" s="26">
        <f t="shared" ref="G78:G100" si="67">(G53/150000)*100000</f>
        <v>0.59420035460815057</v>
      </c>
      <c r="H78" s="123">
        <f t="shared" ref="H78:H100" si="68">(H53/92000)*100000</f>
        <v>1.0382013943995041</v>
      </c>
      <c r="I78" s="123"/>
      <c r="J78" s="26">
        <f t="shared" ref="J78:J100" si="69">(J53/26000000)*100000</f>
        <v>0</v>
      </c>
      <c r="K78" s="26">
        <f t="shared" ref="K78:K100" si="70">(K53/16000000)*100000</f>
        <v>0</v>
      </c>
      <c r="L78" s="26">
        <f t="shared" ref="L78:L100" si="71">(L53/1000000)*100000</f>
        <v>0</v>
      </c>
      <c r="M78" s="30">
        <f t="shared" ref="M78:M100" si="72">(L53/12000)*100000</f>
        <v>0</v>
      </c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0"/>
      <c r="AJ78" s="66"/>
      <c r="AK78" s="60"/>
      <c r="AL78" s="66"/>
      <c r="AM78" s="60"/>
      <c r="AN78" s="66"/>
      <c r="AO78" s="60"/>
      <c r="AP78" s="66"/>
      <c r="AQ78" s="61"/>
      <c r="AR78" s="61"/>
      <c r="AS78" s="61"/>
      <c r="AT78" s="61"/>
      <c r="AU78" s="61"/>
      <c r="AV78" s="61"/>
      <c r="AW78" s="60"/>
      <c r="AX78" s="61"/>
      <c r="AY78" s="6"/>
      <c r="AZ78" s="6"/>
      <c r="BA78" s="22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1"/>
      <c r="BM78" s="6"/>
    </row>
    <row r="79" spans="1:65" s="14" customFormat="1" ht="11.25" customHeight="1" x14ac:dyDescent="0.2">
      <c r="A79" s="4">
        <f t="shared" ref="A79:C94" si="73">A3</f>
        <v>60005010</v>
      </c>
      <c r="B79" s="4" t="str">
        <f t="shared" si="73"/>
        <v xml:space="preserve"> 2003-04</v>
      </c>
      <c r="C79" s="6" t="str">
        <f t="shared" si="73"/>
        <v>WCU</v>
      </c>
      <c r="D79" s="26">
        <f t="shared" si="64"/>
        <v>1.3827861268845627</v>
      </c>
      <c r="E79" s="26">
        <f t="shared" si="65"/>
        <v>0.60706813186813191</v>
      </c>
      <c r="F79" s="26">
        <f t="shared" si="66"/>
        <v>0.82587444974033408</v>
      </c>
      <c r="G79" s="26">
        <f t="shared" si="67"/>
        <v>0.59420104342429358</v>
      </c>
      <c r="H79" s="123">
        <f t="shared" si="68"/>
        <v>1.0805760641691733</v>
      </c>
      <c r="I79" s="123"/>
      <c r="J79" s="26">
        <f t="shared" si="69"/>
        <v>0</v>
      </c>
      <c r="K79" s="26">
        <f t="shared" si="70"/>
        <v>0</v>
      </c>
      <c r="L79" s="26">
        <f t="shared" si="71"/>
        <v>0</v>
      </c>
      <c r="M79" s="30">
        <f t="shared" si="72"/>
        <v>0</v>
      </c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0"/>
      <c r="AJ79" s="66"/>
      <c r="AK79" s="60"/>
      <c r="AL79" s="66"/>
      <c r="AM79" s="60"/>
      <c r="AN79" s="66"/>
      <c r="AO79" s="60"/>
      <c r="AP79" s="66"/>
      <c r="AQ79" s="61"/>
      <c r="AR79" s="61"/>
      <c r="AS79" s="61"/>
      <c r="AT79" s="61"/>
      <c r="AU79" s="61"/>
      <c r="AV79" s="61"/>
      <c r="AW79" s="60"/>
      <c r="AX79" s="61"/>
      <c r="AY79" s="6"/>
      <c r="AZ79" s="6"/>
      <c r="BA79" s="22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1"/>
      <c r="BM79" s="6"/>
    </row>
    <row r="80" spans="1:65" s="14" customFormat="1" ht="11.25" customHeight="1" x14ac:dyDescent="0.2">
      <c r="A80" s="4">
        <f t="shared" si="73"/>
        <v>60005010</v>
      </c>
      <c r="B80" s="4" t="str">
        <f t="shared" si="73"/>
        <v xml:space="preserve"> 2004-05</v>
      </c>
      <c r="C80" s="6" t="str">
        <f t="shared" si="73"/>
        <v>WCU</v>
      </c>
      <c r="D80" s="26">
        <f t="shared" si="64"/>
        <v>1.4102294288812667</v>
      </c>
      <c r="E80" s="26">
        <f t="shared" si="65"/>
        <v>0.64386750885586019</v>
      </c>
      <c r="F80" s="26">
        <f t="shared" si="66"/>
        <v>1.0633645226470829</v>
      </c>
      <c r="G80" s="26">
        <f t="shared" si="67"/>
        <v>0.61703936945806048</v>
      </c>
      <c r="H80" s="123">
        <f t="shared" si="68"/>
        <v>1.0897823693438169</v>
      </c>
      <c r="I80" s="123"/>
      <c r="J80" s="26">
        <f t="shared" si="69"/>
        <v>0</v>
      </c>
      <c r="K80" s="26">
        <f t="shared" si="70"/>
        <v>0</v>
      </c>
      <c r="L80" s="26">
        <f t="shared" si="71"/>
        <v>0</v>
      </c>
      <c r="M80" s="30">
        <f t="shared" si="72"/>
        <v>0</v>
      </c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0"/>
      <c r="AJ80" s="66"/>
      <c r="AK80" s="60"/>
      <c r="AL80" s="66"/>
      <c r="AM80" s="60"/>
      <c r="AN80" s="66"/>
      <c r="AO80" s="60"/>
      <c r="AP80" s="66"/>
      <c r="AQ80" s="61"/>
      <c r="AR80" s="61"/>
      <c r="AS80" s="61"/>
      <c r="AT80" s="61"/>
      <c r="AU80" s="61"/>
      <c r="AV80" s="61"/>
      <c r="AW80" s="60"/>
      <c r="AX80" s="61"/>
      <c r="AY80" s="6"/>
      <c r="AZ80" s="6"/>
      <c r="BA80" s="22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1"/>
      <c r="BM80" s="6"/>
    </row>
    <row r="81" spans="1:65" s="14" customFormat="1" ht="11.25" customHeight="1" x14ac:dyDescent="0.2">
      <c r="A81" s="4">
        <f t="shared" si="73"/>
        <v>60005010</v>
      </c>
      <c r="B81" s="4" t="str">
        <f t="shared" si="73"/>
        <v>2005-06</v>
      </c>
      <c r="C81" s="6" t="str">
        <f t="shared" si="73"/>
        <v>WCU</v>
      </c>
      <c r="D81" s="26">
        <f t="shared" si="64"/>
        <v>1.4856971818399454</v>
      </c>
      <c r="E81" s="26">
        <f t="shared" si="65"/>
        <v>1.6056258032327544</v>
      </c>
      <c r="F81" s="26">
        <f t="shared" si="66"/>
        <v>1.3669787363074706</v>
      </c>
      <c r="G81" s="26">
        <f t="shared" si="67"/>
        <v>0.87968461785097229</v>
      </c>
      <c r="H81" s="123">
        <f t="shared" si="68"/>
        <v>1.3728549007582034</v>
      </c>
      <c r="I81" s="123"/>
      <c r="J81" s="26">
        <f t="shared" si="69"/>
        <v>0</v>
      </c>
      <c r="K81" s="26">
        <f t="shared" si="70"/>
        <v>0</v>
      </c>
      <c r="L81" s="26">
        <f t="shared" si="71"/>
        <v>0</v>
      </c>
      <c r="M81" s="30">
        <f t="shared" si="72"/>
        <v>0</v>
      </c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0"/>
      <c r="AJ81" s="66"/>
      <c r="AK81" s="60"/>
      <c r="AL81" s="66"/>
      <c r="AM81" s="60"/>
      <c r="AN81" s="66"/>
      <c r="AO81" s="60"/>
      <c r="AP81" s="66"/>
      <c r="AQ81" s="61"/>
      <c r="AR81" s="61"/>
      <c r="AS81" s="61"/>
      <c r="AT81" s="61"/>
      <c r="AU81" s="61"/>
      <c r="AV81" s="61"/>
      <c r="AW81" s="60"/>
      <c r="AX81" s="61"/>
      <c r="AY81" s="6"/>
      <c r="AZ81" s="6"/>
      <c r="BA81" s="22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1"/>
      <c r="BM81" s="6"/>
    </row>
    <row r="82" spans="1:65" s="14" customFormat="1" ht="11.25" customHeight="1" x14ac:dyDescent="0.2">
      <c r="A82" s="4">
        <f t="shared" si="73"/>
        <v>60005010</v>
      </c>
      <c r="B82" s="4" t="str">
        <f t="shared" si="73"/>
        <v xml:space="preserve"> 2006-07</v>
      </c>
      <c r="C82" s="6" t="str">
        <f t="shared" si="73"/>
        <v>WCU</v>
      </c>
      <c r="D82" s="26">
        <f t="shared" si="64"/>
        <v>1.6118413650035446</v>
      </c>
      <c r="E82" s="26">
        <f t="shared" si="65"/>
        <v>0.82038340821531563</v>
      </c>
      <c r="F82" s="26">
        <f t="shared" si="66"/>
        <v>1.3619391257146358</v>
      </c>
      <c r="G82" s="26">
        <f t="shared" si="67"/>
        <v>0.95404096479098699</v>
      </c>
      <c r="H82" s="123">
        <f t="shared" si="68"/>
        <v>1.3678988287778941</v>
      </c>
      <c r="I82" s="123"/>
      <c r="J82" s="26">
        <f t="shared" si="69"/>
        <v>0</v>
      </c>
      <c r="K82" s="26">
        <f t="shared" si="70"/>
        <v>0</v>
      </c>
      <c r="L82" s="26">
        <f t="shared" si="71"/>
        <v>0</v>
      </c>
      <c r="M82" s="30">
        <f t="shared" si="72"/>
        <v>0</v>
      </c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0"/>
      <c r="AJ82" s="66"/>
      <c r="AK82" s="60"/>
      <c r="AL82" s="66"/>
      <c r="AM82" s="60"/>
      <c r="AN82" s="66"/>
      <c r="AO82" s="60"/>
      <c r="AP82" s="66"/>
      <c r="AQ82" s="61"/>
      <c r="AR82" s="61"/>
      <c r="AS82" s="61"/>
      <c r="AT82" s="61"/>
      <c r="AU82" s="61"/>
      <c r="AV82" s="61"/>
      <c r="AW82" s="60"/>
      <c r="AX82" s="61"/>
      <c r="AY82" s="6"/>
      <c r="AZ82" s="6"/>
      <c r="BA82" s="22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1"/>
      <c r="BM82" s="6"/>
    </row>
    <row r="83" spans="1:65" ht="11.25" customHeight="1" x14ac:dyDescent="0.2">
      <c r="A83" s="4">
        <f t="shared" si="73"/>
        <v>60005010</v>
      </c>
      <c r="B83" s="4" t="str">
        <f t="shared" si="73"/>
        <v xml:space="preserve"> 2007-08</v>
      </c>
      <c r="C83" s="6" t="str">
        <f t="shared" si="73"/>
        <v>WCU</v>
      </c>
      <c r="D83" s="26">
        <f t="shared" si="64"/>
        <v>1.6671618160665795</v>
      </c>
      <c r="E83" s="26">
        <f t="shared" si="65"/>
        <v>1.0035421557182711</v>
      </c>
      <c r="F83" s="26">
        <f t="shared" si="66"/>
        <v>2.1454589330689666</v>
      </c>
      <c r="G83" s="26">
        <f t="shared" si="67"/>
        <v>0.95356503720448338</v>
      </c>
      <c r="H83" s="123">
        <f t="shared" si="68"/>
        <v>1.9754563402361331</v>
      </c>
      <c r="I83" s="123"/>
      <c r="J83" s="26">
        <f t="shared" si="69"/>
        <v>0</v>
      </c>
      <c r="K83" s="26">
        <f t="shared" si="70"/>
        <v>0</v>
      </c>
      <c r="L83" s="26">
        <f t="shared" si="71"/>
        <v>0</v>
      </c>
      <c r="M83" s="30">
        <f t="shared" si="72"/>
        <v>0</v>
      </c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43"/>
      <c r="AH83" s="43"/>
      <c r="AQ83" s="65"/>
      <c r="AR83" s="65"/>
      <c r="AS83" s="65"/>
      <c r="AT83" s="65"/>
      <c r="AU83" s="65"/>
      <c r="AV83" s="65"/>
      <c r="AX83" s="65"/>
      <c r="AY83" s="43"/>
      <c r="AZ83" s="43"/>
      <c r="BA83" s="45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65"/>
      <c r="BM83" s="43"/>
    </row>
    <row r="84" spans="1:65" ht="11.25" customHeight="1" x14ac:dyDescent="0.2">
      <c r="A84" s="4">
        <f t="shared" si="73"/>
        <v>60005010</v>
      </c>
      <c r="B84" s="4" t="str">
        <f t="shared" si="73"/>
        <v>2008-09</v>
      </c>
      <c r="C84" s="6" t="str">
        <f t="shared" si="73"/>
        <v>WCU</v>
      </c>
      <c r="D84" s="26">
        <f t="shared" si="64"/>
        <v>1.5825227398234145</v>
      </c>
      <c r="E84" s="26">
        <f t="shared" si="65"/>
        <v>0.79756405490420368</v>
      </c>
      <c r="F84" s="26">
        <f t="shared" si="66"/>
        <v>1.295268070996715</v>
      </c>
      <c r="G84" s="26">
        <f t="shared" si="67"/>
        <v>1.7982441234777684</v>
      </c>
      <c r="H84" s="123">
        <f t="shared" si="68"/>
        <v>2.5171037628278219</v>
      </c>
      <c r="I84" s="123"/>
      <c r="J84" s="26">
        <f t="shared" si="69"/>
        <v>0</v>
      </c>
      <c r="K84" s="26">
        <f t="shared" si="70"/>
        <v>0</v>
      </c>
      <c r="L84" s="26">
        <f t="shared" si="71"/>
        <v>0</v>
      </c>
      <c r="M84" s="30">
        <f t="shared" si="72"/>
        <v>0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43"/>
      <c r="AH84" s="43"/>
      <c r="AQ84" s="65"/>
      <c r="AR84" s="65"/>
      <c r="AS84" s="65"/>
      <c r="AT84" s="65"/>
      <c r="AU84" s="65"/>
      <c r="AV84" s="65"/>
      <c r="AX84" s="65"/>
      <c r="AY84" s="43"/>
      <c r="AZ84" s="43"/>
      <c r="BA84" s="45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65"/>
      <c r="BM84" s="43"/>
    </row>
    <row r="85" spans="1:65" ht="11.25" customHeight="1" x14ac:dyDescent="0.2">
      <c r="A85" s="4">
        <f t="shared" si="73"/>
        <v>60005010</v>
      </c>
      <c r="B85" s="4" t="str">
        <f t="shared" si="73"/>
        <v>2009-10</v>
      </c>
      <c r="C85" s="6" t="str">
        <f t="shared" si="73"/>
        <v>WCU</v>
      </c>
      <c r="D85" s="26">
        <f t="shared" si="64"/>
        <v>1.7092719929034477</v>
      </c>
      <c r="E85" s="26">
        <f t="shared" si="65"/>
        <v>0.66148455885996438</v>
      </c>
      <c r="F85" s="26">
        <f t="shared" si="66"/>
        <v>2.3258439802738056</v>
      </c>
      <c r="G85" s="26">
        <f t="shared" si="67"/>
        <v>0.94946666666666657</v>
      </c>
      <c r="H85" s="123">
        <f t="shared" si="68"/>
        <v>1.6966634474459203</v>
      </c>
      <c r="I85" s="123"/>
      <c r="J85" s="26">
        <f t="shared" si="69"/>
        <v>0</v>
      </c>
      <c r="K85" s="26">
        <f t="shared" si="70"/>
        <v>0</v>
      </c>
      <c r="L85" s="26">
        <f t="shared" si="71"/>
        <v>0</v>
      </c>
      <c r="M85" s="30">
        <f t="shared" si="72"/>
        <v>0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43"/>
      <c r="AH85" s="43"/>
      <c r="AQ85" s="65"/>
      <c r="AR85" s="65"/>
      <c r="AS85" s="65"/>
      <c r="AT85" s="65"/>
      <c r="AU85" s="65"/>
      <c r="AV85" s="65"/>
      <c r="AX85" s="65"/>
      <c r="AY85" s="43"/>
      <c r="AZ85" s="43"/>
      <c r="BA85" s="45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65"/>
      <c r="BM85" s="43"/>
    </row>
    <row r="86" spans="1:65" ht="11.25" customHeight="1" x14ac:dyDescent="0.2">
      <c r="A86" s="4">
        <f t="shared" si="73"/>
        <v>60005010</v>
      </c>
      <c r="B86" s="4" t="str">
        <f t="shared" si="73"/>
        <v>2010-11</v>
      </c>
      <c r="C86" s="6" t="str">
        <f t="shared" si="73"/>
        <v>WCU</v>
      </c>
      <c r="D86" s="26">
        <f t="shared" si="64"/>
        <v>1.6824683405714587</v>
      </c>
      <c r="E86" s="26">
        <f t="shared" si="65"/>
        <v>0.58164462992576416</v>
      </c>
      <c r="F86" s="26">
        <f t="shared" si="66"/>
        <v>2.0271400069670964</v>
      </c>
      <c r="G86" s="26">
        <f t="shared" si="67"/>
        <v>0</v>
      </c>
      <c r="H86" s="123">
        <f t="shared" si="68"/>
        <v>2.0596501031283641</v>
      </c>
      <c r="I86" s="123"/>
      <c r="J86" s="26">
        <f t="shared" si="69"/>
        <v>0</v>
      </c>
      <c r="K86" s="26">
        <f t="shared" si="70"/>
        <v>0</v>
      </c>
      <c r="L86" s="26">
        <f t="shared" si="71"/>
        <v>0</v>
      </c>
      <c r="M86" s="30">
        <f t="shared" si="72"/>
        <v>0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43"/>
      <c r="AH86" s="43"/>
      <c r="AQ86" s="65"/>
      <c r="AR86" s="65"/>
      <c r="AS86" s="65"/>
      <c r="AT86" s="65"/>
      <c r="AU86" s="65"/>
      <c r="AV86" s="65"/>
      <c r="AX86" s="65"/>
      <c r="AY86" s="43"/>
      <c r="AZ86" s="43"/>
      <c r="BA86" s="45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65"/>
      <c r="BM86" s="43"/>
    </row>
    <row r="87" spans="1:65" ht="11.25" customHeight="1" x14ac:dyDescent="0.2">
      <c r="A87" s="4">
        <f t="shared" si="73"/>
        <v>60005010</v>
      </c>
      <c r="B87" s="4" t="str">
        <f t="shared" si="73"/>
        <v>2011-12</v>
      </c>
      <c r="C87" s="6" t="str">
        <f t="shared" si="73"/>
        <v>WCU</v>
      </c>
      <c r="D87" s="26">
        <f t="shared" si="64"/>
        <v>1.7794168402337498</v>
      </c>
      <c r="E87" s="26">
        <f t="shared" si="65"/>
        <v>0.55637150223772458</v>
      </c>
      <c r="F87" s="26">
        <f t="shared" si="66"/>
        <v>2.3730529152891826</v>
      </c>
      <c r="G87" s="26">
        <f t="shared" si="67"/>
        <v>0</v>
      </c>
      <c r="H87" s="123">
        <f t="shared" si="68"/>
        <v>2.2077230274012658</v>
      </c>
      <c r="I87" s="123"/>
      <c r="J87" s="26">
        <f t="shared" si="69"/>
        <v>0</v>
      </c>
      <c r="K87" s="26">
        <f t="shared" si="70"/>
        <v>0</v>
      </c>
      <c r="L87" s="26">
        <f t="shared" si="71"/>
        <v>0</v>
      </c>
      <c r="M87" s="30">
        <f t="shared" si="72"/>
        <v>0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43"/>
      <c r="AH87" s="43"/>
      <c r="AQ87" s="65"/>
      <c r="AR87" s="65"/>
      <c r="AS87" s="65"/>
      <c r="AT87" s="65"/>
      <c r="AU87" s="65"/>
      <c r="AV87" s="65"/>
      <c r="AX87" s="65"/>
      <c r="AY87" s="43"/>
      <c r="AZ87" s="43"/>
      <c r="BA87" s="45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65"/>
      <c r="BM87" s="43"/>
    </row>
    <row r="88" spans="1:65" ht="11.25" customHeight="1" x14ac:dyDescent="0.2">
      <c r="A88" s="4">
        <f t="shared" si="73"/>
        <v>60005010</v>
      </c>
      <c r="B88" s="4" t="str">
        <f t="shared" si="73"/>
        <v>2012-13</v>
      </c>
      <c r="C88" s="6" t="str">
        <f t="shared" si="73"/>
        <v>WCU</v>
      </c>
      <c r="D88" s="26">
        <f t="shared" si="64"/>
        <v>1.885693597221151</v>
      </c>
      <c r="E88" s="26">
        <f t="shared" si="65"/>
        <v>0.56060236142920117</v>
      </c>
      <c r="F88" s="26">
        <f t="shared" si="66"/>
        <v>2.5076586199072746</v>
      </c>
      <c r="G88" s="26">
        <f t="shared" si="67"/>
        <v>0</v>
      </c>
      <c r="H88" s="123">
        <f t="shared" si="68"/>
        <v>1.7266129013581313</v>
      </c>
      <c r="I88" s="123"/>
      <c r="J88" s="26">
        <f t="shared" si="69"/>
        <v>0</v>
      </c>
      <c r="K88" s="26">
        <f t="shared" si="70"/>
        <v>0</v>
      </c>
      <c r="L88" s="26">
        <f t="shared" si="71"/>
        <v>0</v>
      </c>
      <c r="M88" s="30">
        <f t="shared" si="72"/>
        <v>0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43"/>
      <c r="AH88" s="43"/>
      <c r="AQ88" s="65"/>
      <c r="AR88" s="65"/>
      <c r="AS88" s="65"/>
      <c r="AT88" s="65"/>
      <c r="AU88" s="65"/>
      <c r="AV88" s="65"/>
      <c r="AX88" s="65"/>
      <c r="AY88" s="43"/>
      <c r="AZ88" s="43"/>
      <c r="BA88" s="45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65"/>
      <c r="BM88" s="43"/>
    </row>
    <row r="89" spans="1:65" ht="11.25" customHeight="1" x14ac:dyDescent="0.2">
      <c r="A89" s="4">
        <f t="shared" si="73"/>
        <v>60005010</v>
      </c>
      <c r="B89" s="4" t="str">
        <f t="shared" si="73"/>
        <v>2013-14</v>
      </c>
      <c r="C89" s="6" t="str">
        <f t="shared" si="73"/>
        <v>WCU</v>
      </c>
      <c r="D89" s="26">
        <f t="shared" si="64"/>
        <v>1.9058415471195058</v>
      </c>
      <c r="E89" s="26">
        <f t="shared" si="65"/>
        <v>0.60320629851837504</v>
      </c>
      <c r="F89" s="26">
        <f t="shared" si="66"/>
        <v>2.4415306153460969</v>
      </c>
      <c r="G89" s="26">
        <f t="shared" si="67"/>
        <v>1.4256666462622511</v>
      </c>
      <c r="H89" s="123">
        <f t="shared" si="68"/>
        <v>2.3242599684760559</v>
      </c>
      <c r="I89" s="123"/>
      <c r="J89" s="26">
        <f t="shared" si="69"/>
        <v>0</v>
      </c>
      <c r="K89" s="26">
        <f t="shared" si="70"/>
        <v>0</v>
      </c>
      <c r="L89" s="26">
        <f t="shared" si="71"/>
        <v>0</v>
      </c>
      <c r="M89" s="30">
        <f t="shared" si="72"/>
        <v>0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43"/>
      <c r="AH89" s="43"/>
      <c r="AQ89" s="65"/>
      <c r="AR89" s="65"/>
      <c r="AS89" s="65"/>
      <c r="AT89" s="65"/>
      <c r="AU89" s="65"/>
      <c r="AV89" s="65"/>
      <c r="AX89" s="65"/>
      <c r="AY89" s="43"/>
      <c r="AZ89" s="43"/>
      <c r="BA89" s="45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65"/>
      <c r="BM89" s="43"/>
    </row>
    <row r="90" spans="1:65" ht="11.25" customHeight="1" x14ac:dyDescent="0.2">
      <c r="A90" s="4">
        <f t="shared" si="73"/>
        <v>60005010</v>
      </c>
      <c r="B90" s="4" t="str">
        <f t="shared" si="73"/>
        <v>2014-15</v>
      </c>
      <c r="C90" s="6" t="str">
        <f t="shared" si="73"/>
        <v>WCU</v>
      </c>
      <c r="D90" s="26">
        <f t="shared" si="64"/>
        <v>1.9062854347736831</v>
      </c>
      <c r="E90" s="26">
        <f t="shared" si="65"/>
        <v>0.53463607789128065</v>
      </c>
      <c r="F90" s="26">
        <f t="shared" si="66"/>
        <v>1.8234488958025195</v>
      </c>
      <c r="G90" s="26">
        <f t="shared" si="67"/>
        <v>1.9019333333333333</v>
      </c>
      <c r="H90" s="123">
        <f t="shared" si="68"/>
        <v>1.790375911451159</v>
      </c>
      <c r="I90" s="123"/>
      <c r="J90" s="26">
        <f t="shared" si="69"/>
        <v>0</v>
      </c>
      <c r="K90" s="26">
        <f t="shared" si="70"/>
        <v>0</v>
      </c>
      <c r="L90" s="26">
        <f t="shared" si="71"/>
        <v>0</v>
      </c>
      <c r="M90" s="30">
        <f t="shared" si="72"/>
        <v>0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43"/>
      <c r="AH90" s="43"/>
      <c r="AQ90" s="65"/>
      <c r="AR90" s="65"/>
      <c r="AS90" s="65"/>
      <c r="AT90" s="65"/>
      <c r="AU90" s="65"/>
      <c r="AV90" s="65"/>
      <c r="AX90" s="65"/>
      <c r="AY90" s="43"/>
      <c r="AZ90" s="43"/>
      <c r="BA90" s="45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65"/>
      <c r="BM90" s="43"/>
    </row>
    <row r="91" spans="1:65" ht="11.25" customHeight="1" x14ac:dyDescent="0.2">
      <c r="A91" s="4">
        <f t="shared" si="73"/>
        <v>60005010</v>
      </c>
      <c r="B91" s="4" t="str">
        <f t="shared" si="73"/>
        <v>2015-16</v>
      </c>
      <c r="C91" s="6" t="str">
        <f t="shared" si="73"/>
        <v>WCU</v>
      </c>
      <c r="D91" s="26">
        <f t="shared" si="64"/>
        <v>1.9263581683075732</v>
      </c>
      <c r="E91" s="26">
        <f t="shared" si="65"/>
        <v>0.48599242870422271</v>
      </c>
      <c r="F91" s="26">
        <f t="shared" si="66"/>
        <v>1.0536999069931636</v>
      </c>
      <c r="G91" s="26">
        <f t="shared" si="67"/>
        <v>1.8</v>
      </c>
      <c r="H91" s="123">
        <f t="shared" si="68"/>
        <v>0.98368454166310837</v>
      </c>
      <c r="I91" s="123"/>
      <c r="J91" s="26">
        <f t="shared" si="69"/>
        <v>0</v>
      </c>
      <c r="K91" s="26">
        <f t="shared" si="70"/>
        <v>0</v>
      </c>
      <c r="L91" s="26">
        <f t="shared" si="71"/>
        <v>0</v>
      </c>
      <c r="M91" s="30">
        <f t="shared" si="72"/>
        <v>0</v>
      </c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Q91" s="65"/>
      <c r="AR91" s="65"/>
      <c r="AS91" s="65"/>
      <c r="AT91" s="65"/>
      <c r="AU91" s="65"/>
      <c r="AV91" s="65"/>
      <c r="AX91" s="65"/>
      <c r="AY91" s="43"/>
      <c r="AZ91" s="43"/>
      <c r="BA91" s="45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65"/>
      <c r="BM91" s="43"/>
    </row>
    <row r="92" spans="1:65" ht="11.25" customHeight="1" x14ac:dyDescent="0.2">
      <c r="A92" s="4">
        <f t="shared" si="73"/>
        <v>60005010</v>
      </c>
      <c r="B92" s="4" t="str">
        <f t="shared" si="73"/>
        <v>2016-17</v>
      </c>
      <c r="C92" s="6" t="str">
        <f t="shared" si="73"/>
        <v>WCU</v>
      </c>
      <c r="D92" s="26">
        <f t="shared" si="64"/>
        <v>1.8604780764685231</v>
      </c>
      <c r="E92" s="26">
        <f t="shared" si="65"/>
        <v>0.45533788788857393</v>
      </c>
      <c r="F92" s="26">
        <f t="shared" si="66"/>
        <v>1.3913004008700498</v>
      </c>
      <c r="G92" s="26">
        <f t="shared" si="67"/>
        <v>1.8</v>
      </c>
      <c r="H92" s="123">
        <f t="shared" si="68"/>
        <v>1.1761846069569981</v>
      </c>
      <c r="I92" s="123"/>
      <c r="J92" s="26">
        <f t="shared" si="69"/>
        <v>0</v>
      </c>
      <c r="K92" s="26">
        <f t="shared" si="70"/>
        <v>0</v>
      </c>
      <c r="L92" s="26">
        <f t="shared" si="71"/>
        <v>0</v>
      </c>
      <c r="M92" s="30">
        <f t="shared" si="72"/>
        <v>0</v>
      </c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Q92" s="65"/>
      <c r="AR92" s="65"/>
      <c r="AS92" s="65"/>
      <c r="AT92" s="65"/>
      <c r="AU92" s="65"/>
      <c r="AV92" s="65"/>
      <c r="AX92" s="65"/>
      <c r="AY92" s="43"/>
      <c r="AZ92" s="43"/>
      <c r="BA92" s="45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65"/>
      <c r="BM92" s="43"/>
    </row>
    <row r="93" spans="1:65" ht="11.25" customHeight="1" x14ac:dyDescent="0.2">
      <c r="A93" s="4">
        <f t="shared" si="73"/>
        <v>60005010</v>
      </c>
      <c r="B93" s="4" t="str">
        <f t="shared" si="73"/>
        <v>2017-18</v>
      </c>
      <c r="C93" s="6" t="str">
        <f t="shared" si="73"/>
        <v>WCU</v>
      </c>
      <c r="D93" s="26">
        <f t="shared" si="64"/>
        <v>0</v>
      </c>
      <c r="E93" s="26">
        <f t="shared" si="65"/>
        <v>0</v>
      </c>
      <c r="F93" s="26">
        <f t="shared" si="66"/>
        <v>0</v>
      </c>
      <c r="G93" s="26">
        <f t="shared" si="67"/>
        <v>0</v>
      </c>
      <c r="H93" s="123">
        <f t="shared" si="68"/>
        <v>0</v>
      </c>
      <c r="I93" s="123"/>
      <c r="J93" s="26">
        <f t="shared" si="69"/>
        <v>0</v>
      </c>
      <c r="K93" s="26">
        <f t="shared" si="70"/>
        <v>0</v>
      </c>
      <c r="L93" s="26">
        <f t="shared" si="71"/>
        <v>0</v>
      </c>
      <c r="M93" s="30">
        <f t="shared" si="72"/>
        <v>0</v>
      </c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Q93" s="65"/>
      <c r="AR93" s="65"/>
      <c r="AS93" s="65"/>
      <c r="AT93" s="65"/>
      <c r="AU93" s="65"/>
      <c r="AV93" s="65"/>
      <c r="AX93" s="65"/>
      <c r="AY93" s="43"/>
      <c r="AZ93" s="43"/>
      <c r="BA93" s="45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65"/>
      <c r="BM93" s="43"/>
    </row>
    <row r="94" spans="1:65" ht="11.25" customHeight="1" x14ac:dyDescent="0.2">
      <c r="A94" s="4">
        <f t="shared" si="73"/>
        <v>60005010</v>
      </c>
      <c r="B94" s="4" t="str">
        <f t="shared" si="73"/>
        <v>2018-19</v>
      </c>
      <c r="C94" s="6" t="str">
        <f t="shared" si="73"/>
        <v>WCU</v>
      </c>
      <c r="D94" s="26">
        <f t="shared" si="64"/>
        <v>0</v>
      </c>
      <c r="E94" s="26">
        <f t="shared" si="65"/>
        <v>0</v>
      </c>
      <c r="F94" s="26">
        <f t="shared" si="66"/>
        <v>0</v>
      </c>
      <c r="G94" s="26">
        <f t="shared" si="67"/>
        <v>0</v>
      </c>
      <c r="H94" s="123">
        <f t="shared" si="68"/>
        <v>0</v>
      </c>
      <c r="I94" s="123"/>
      <c r="J94" s="26">
        <f t="shared" si="69"/>
        <v>0</v>
      </c>
      <c r="K94" s="26">
        <f t="shared" si="70"/>
        <v>0</v>
      </c>
      <c r="L94" s="26">
        <f t="shared" si="71"/>
        <v>0</v>
      </c>
      <c r="M94" s="30">
        <f t="shared" si="72"/>
        <v>0</v>
      </c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Q94" s="65"/>
      <c r="AR94" s="65"/>
      <c r="AS94" s="65"/>
      <c r="AT94" s="65"/>
      <c r="AU94" s="65"/>
      <c r="AV94" s="65"/>
      <c r="AX94" s="65"/>
      <c r="AY94" s="43"/>
      <c r="AZ94" s="43"/>
      <c r="BA94" s="45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65"/>
      <c r="BM94" s="43"/>
    </row>
    <row r="95" spans="1:65" ht="11.25" customHeight="1" x14ac:dyDescent="0.2">
      <c r="A95" s="4">
        <f t="shared" ref="A95:C100" si="74">A19</f>
        <v>60005010</v>
      </c>
      <c r="B95" s="4" t="str">
        <f t="shared" si="74"/>
        <v>2019-20</v>
      </c>
      <c r="C95" s="6" t="str">
        <f t="shared" si="74"/>
        <v>WCU</v>
      </c>
      <c r="D95" s="26">
        <f t="shared" si="64"/>
        <v>0</v>
      </c>
      <c r="E95" s="26">
        <f t="shared" si="65"/>
        <v>0</v>
      </c>
      <c r="F95" s="26">
        <f t="shared" si="66"/>
        <v>0</v>
      </c>
      <c r="G95" s="26">
        <f t="shared" si="67"/>
        <v>0</v>
      </c>
      <c r="H95" s="123">
        <f t="shared" si="68"/>
        <v>0</v>
      </c>
      <c r="I95" s="123"/>
      <c r="J95" s="26">
        <f t="shared" si="69"/>
        <v>0</v>
      </c>
      <c r="K95" s="26">
        <f t="shared" si="70"/>
        <v>0</v>
      </c>
      <c r="L95" s="26">
        <f t="shared" si="71"/>
        <v>0</v>
      </c>
      <c r="M95" s="30">
        <f t="shared" si="72"/>
        <v>0</v>
      </c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Q95" s="65"/>
      <c r="AR95" s="65"/>
      <c r="AS95" s="65"/>
      <c r="AT95" s="65"/>
      <c r="AU95" s="65"/>
      <c r="AV95" s="65"/>
      <c r="AX95" s="65"/>
      <c r="AY95" s="43"/>
      <c r="AZ95" s="43"/>
      <c r="BA95" s="45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65"/>
      <c r="BM95" s="43"/>
    </row>
    <row r="96" spans="1:65" ht="11.25" customHeight="1" x14ac:dyDescent="0.2">
      <c r="A96" s="4">
        <f t="shared" si="74"/>
        <v>60005010</v>
      </c>
      <c r="B96" s="4" t="str">
        <f t="shared" si="74"/>
        <v>2020-21</v>
      </c>
      <c r="C96" s="6" t="str">
        <f t="shared" si="74"/>
        <v>WCU</v>
      </c>
      <c r="D96" s="26">
        <f t="shared" si="64"/>
        <v>0</v>
      </c>
      <c r="E96" s="26">
        <f t="shared" si="65"/>
        <v>0</v>
      </c>
      <c r="F96" s="26">
        <f t="shared" si="66"/>
        <v>0</v>
      </c>
      <c r="G96" s="26">
        <f t="shared" si="67"/>
        <v>0</v>
      </c>
      <c r="H96" s="123">
        <f t="shared" si="68"/>
        <v>0</v>
      </c>
      <c r="I96" s="123"/>
      <c r="J96" s="26">
        <f t="shared" si="69"/>
        <v>0</v>
      </c>
      <c r="K96" s="26">
        <f t="shared" si="70"/>
        <v>0</v>
      </c>
      <c r="L96" s="26">
        <f t="shared" si="71"/>
        <v>0</v>
      </c>
      <c r="M96" s="30">
        <f t="shared" si="72"/>
        <v>0</v>
      </c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Q96" s="65"/>
      <c r="AR96" s="65"/>
      <c r="AS96" s="65"/>
      <c r="AT96" s="65"/>
      <c r="AU96" s="65"/>
      <c r="AV96" s="65"/>
      <c r="AX96" s="65"/>
      <c r="AY96" s="43"/>
      <c r="AZ96" s="43"/>
      <c r="BA96" s="45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65"/>
      <c r="BM96" s="43"/>
    </row>
    <row r="97" spans="1:65" ht="11.25" customHeight="1" x14ac:dyDescent="0.2">
      <c r="A97" s="4">
        <f t="shared" si="74"/>
        <v>60005010</v>
      </c>
      <c r="B97" s="4" t="str">
        <f t="shared" si="74"/>
        <v>2021-22</v>
      </c>
      <c r="C97" s="6" t="str">
        <f t="shared" si="74"/>
        <v>WCU</v>
      </c>
      <c r="D97" s="26">
        <f t="shared" si="64"/>
        <v>0</v>
      </c>
      <c r="E97" s="26">
        <f t="shared" si="65"/>
        <v>0</v>
      </c>
      <c r="F97" s="26">
        <f t="shared" si="66"/>
        <v>0</v>
      </c>
      <c r="G97" s="26">
        <f t="shared" si="67"/>
        <v>0</v>
      </c>
      <c r="H97" s="123">
        <f t="shared" si="68"/>
        <v>0</v>
      </c>
      <c r="I97" s="123"/>
      <c r="J97" s="26">
        <f t="shared" si="69"/>
        <v>0</v>
      </c>
      <c r="K97" s="26">
        <f t="shared" si="70"/>
        <v>0</v>
      </c>
      <c r="L97" s="26">
        <f t="shared" si="71"/>
        <v>0</v>
      </c>
      <c r="M97" s="30">
        <f t="shared" si="72"/>
        <v>0</v>
      </c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Q97" s="65"/>
      <c r="AR97" s="65"/>
      <c r="AS97" s="65"/>
      <c r="AT97" s="65"/>
      <c r="AU97" s="65"/>
      <c r="AV97" s="65"/>
      <c r="AX97" s="65"/>
      <c r="AY97" s="43"/>
      <c r="AZ97" s="43"/>
      <c r="BA97" s="45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65"/>
      <c r="BM97" s="43"/>
    </row>
    <row r="98" spans="1:65" ht="11.25" customHeight="1" x14ac:dyDescent="0.2">
      <c r="A98" s="4">
        <f t="shared" si="74"/>
        <v>60005010</v>
      </c>
      <c r="B98" s="4" t="str">
        <f t="shared" si="74"/>
        <v>2022-23</v>
      </c>
      <c r="C98" s="6" t="str">
        <f t="shared" si="74"/>
        <v>WCU</v>
      </c>
      <c r="D98" s="26">
        <f t="shared" si="64"/>
        <v>0</v>
      </c>
      <c r="E98" s="26">
        <f t="shared" si="65"/>
        <v>0</v>
      </c>
      <c r="F98" s="26">
        <f t="shared" si="66"/>
        <v>0</v>
      </c>
      <c r="G98" s="26">
        <f t="shared" si="67"/>
        <v>0</v>
      </c>
      <c r="H98" s="123">
        <f t="shared" si="68"/>
        <v>0</v>
      </c>
      <c r="I98" s="123"/>
      <c r="J98" s="26">
        <f t="shared" si="69"/>
        <v>0</v>
      </c>
      <c r="K98" s="26">
        <f t="shared" si="70"/>
        <v>0</v>
      </c>
      <c r="L98" s="26">
        <f t="shared" si="71"/>
        <v>0</v>
      </c>
      <c r="M98" s="30">
        <f t="shared" si="72"/>
        <v>0</v>
      </c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Q98" s="65"/>
      <c r="AR98" s="65"/>
      <c r="AS98" s="65"/>
      <c r="AT98" s="65"/>
      <c r="AU98" s="65"/>
      <c r="AV98" s="65"/>
      <c r="AX98" s="65"/>
      <c r="AY98" s="43"/>
      <c r="AZ98" s="43"/>
      <c r="BA98" s="45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65"/>
      <c r="BM98" s="43"/>
    </row>
    <row r="99" spans="1:65" ht="11.25" customHeight="1" x14ac:dyDescent="0.2">
      <c r="A99" s="4">
        <f t="shared" si="74"/>
        <v>60005010</v>
      </c>
      <c r="B99" s="4" t="str">
        <f t="shared" si="74"/>
        <v>2023-24</v>
      </c>
      <c r="C99" s="6" t="str">
        <f t="shared" si="74"/>
        <v>WCU</v>
      </c>
      <c r="D99" s="26">
        <f t="shared" si="64"/>
        <v>0</v>
      </c>
      <c r="E99" s="26">
        <f t="shared" si="65"/>
        <v>0</v>
      </c>
      <c r="F99" s="26">
        <f t="shared" si="66"/>
        <v>0</v>
      </c>
      <c r="G99" s="26">
        <f t="shared" si="67"/>
        <v>0</v>
      </c>
      <c r="H99" s="123">
        <f t="shared" si="68"/>
        <v>0</v>
      </c>
      <c r="I99" s="123"/>
      <c r="J99" s="26">
        <f t="shared" si="69"/>
        <v>0</v>
      </c>
      <c r="K99" s="26">
        <f t="shared" si="70"/>
        <v>0</v>
      </c>
      <c r="L99" s="26">
        <f t="shared" si="71"/>
        <v>0</v>
      </c>
      <c r="M99" s="30">
        <f t="shared" si="72"/>
        <v>0</v>
      </c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Q99" s="65"/>
      <c r="AR99" s="65"/>
      <c r="AS99" s="65"/>
      <c r="AT99" s="65"/>
      <c r="AU99" s="65"/>
      <c r="AV99" s="65"/>
      <c r="AX99" s="65"/>
      <c r="AY99" s="43"/>
      <c r="AZ99" s="43"/>
      <c r="BA99" s="45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65"/>
      <c r="BM99" s="43"/>
    </row>
    <row r="100" spans="1:65" ht="11.25" customHeight="1" x14ac:dyDescent="0.2">
      <c r="A100" s="4">
        <f t="shared" si="74"/>
        <v>60005010</v>
      </c>
      <c r="B100" s="4" t="str">
        <f t="shared" si="74"/>
        <v>2024-25</v>
      </c>
      <c r="C100" s="6" t="str">
        <f t="shared" si="74"/>
        <v>WCU</v>
      </c>
      <c r="D100" s="26">
        <f t="shared" si="64"/>
        <v>0</v>
      </c>
      <c r="E100" s="26">
        <f t="shared" si="65"/>
        <v>0</v>
      </c>
      <c r="F100" s="26">
        <f t="shared" si="66"/>
        <v>0</v>
      </c>
      <c r="G100" s="26">
        <f t="shared" si="67"/>
        <v>0</v>
      </c>
      <c r="H100" s="123">
        <f t="shared" si="68"/>
        <v>0</v>
      </c>
      <c r="I100" s="123"/>
      <c r="J100" s="26">
        <f t="shared" si="69"/>
        <v>0</v>
      </c>
      <c r="K100" s="26">
        <f t="shared" si="70"/>
        <v>0</v>
      </c>
      <c r="L100" s="26">
        <f t="shared" si="71"/>
        <v>0</v>
      </c>
      <c r="M100" s="30">
        <f t="shared" si="72"/>
        <v>0</v>
      </c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Q100" s="65"/>
      <c r="AR100" s="65"/>
      <c r="AS100" s="65"/>
      <c r="AT100" s="65"/>
      <c r="AU100" s="65"/>
      <c r="AV100" s="65"/>
      <c r="AX100" s="65"/>
      <c r="AY100" s="43"/>
      <c r="AZ100" s="43"/>
      <c r="BA100" s="45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65"/>
      <c r="BM100" s="43"/>
    </row>
    <row r="101" spans="1:65" x14ac:dyDescent="0.2">
      <c r="B101" s="45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Q101" s="65"/>
      <c r="AR101" s="65"/>
      <c r="AS101" s="65"/>
      <c r="AT101" s="65"/>
      <c r="AU101" s="65"/>
      <c r="AV101" s="65"/>
      <c r="AX101" s="65"/>
      <c r="AY101" s="43"/>
      <c r="AZ101" s="43"/>
      <c r="BA101" s="45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65"/>
      <c r="BM101" s="43"/>
    </row>
    <row r="102" spans="1:65" x14ac:dyDescent="0.2">
      <c r="B102" s="45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Q102" s="65"/>
      <c r="AR102" s="65"/>
      <c r="AS102" s="65"/>
      <c r="AT102" s="65"/>
      <c r="AU102" s="65"/>
      <c r="AV102" s="65"/>
      <c r="AX102" s="65"/>
      <c r="AY102" s="43"/>
      <c r="AZ102" s="43"/>
      <c r="BA102" s="45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65"/>
      <c r="BM102" s="43"/>
    </row>
    <row r="103" spans="1:65" x14ac:dyDescent="0.2">
      <c r="B103" s="45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Q103" s="65"/>
      <c r="AR103" s="65"/>
      <c r="AS103" s="65"/>
      <c r="AT103" s="65"/>
      <c r="AU103" s="65"/>
      <c r="AV103" s="65"/>
      <c r="AX103" s="65"/>
      <c r="AY103" s="43"/>
      <c r="AZ103" s="43"/>
      <c r="BA103" s="45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65"/>
      <c r="BM103" s="43"/>
    </row>
    <row r="104" spans="1:65" x14ac:dyDescent="0.2">
      <c r="B104" s="45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Q104" s="65"/>
      <c r="AR104" s="65"/>
      <c r="AS104" s="65"/>
      <c r="AT104" s="65"/>
      <c r="AU104" s="65"/>
      <c r="AV104" s="65"/>
      <c r="AX104" s="65"/>
      <c r="AY104" s="43"/>
      <c r="AZ104" s="43"/>
      <c r="BA104" s="45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65"/>
      <c r="BM104" s="43"/>
    </row>
    <row r="105" spans="1:65" x14ac:dyDescent="0.2">
      <c r="B105" s="45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Q105" s="65"/>
      <c r="AR105" s="65"/>
      <c r="AS105" s="65"/>
      <c r="AT105" s="65"/>
      <c r="AU105" s="65"/>
      <c r="AV105" s="65"/>
      <c r="AX105" s="65"/>
      <c r="AY105" s="43"/>
      <c r="AZ105" s="43"/>
      <c r="BA105" s="45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65"/>
      <c r="BM105" s="43"/>
    </row>
    <row r="106" spans="1:65" x14ac:dyDescent="0.2">
      <c r="B106" s="45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Q106" s="65"/>
      <c r="AR106" s="65"/>
      <c r="AS106" s="65"/>
      <c r="AT106" s="65"/>
      <c r="AU106" s="65"/>
      <c r="AV106" s="65"/>
      <c r="AX106" s="65"/>
      <c r="AY106" s="43"/>
      <c r="AZ106" s="43"/>
      <c r="BA106" s="45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65"/>
      <c r="BM106" s="43"/>
    </row>
    <row r="107" spans="1:65" x14ac:dyDescent="0.2">
      <c r="B107" s="45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Q107" s="65"/>
      <c r="AR107" s="65"/>
      <c r="AS107" s="65"/>
      <c r="AT107" s="65"/>
      <c r="AU107" s="65"/>
      <c r="AV107" s="65"/>
      <c r="AX107" s="65"/>
      <c r="AY107" s="43"/>
      <c r="AZ107" s="43"/>
      <c r="BA107" s="45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65"/>
      <c r="BM107" s="43"/>
    </row>
    <row r="108" spans="1:65" x14ac:dyDescent="0.2">
      <c r="B108" s="45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Q108" s="65"/>
      <c r="AR108" s="65"/>
      <c r="AS108" s="65"/>
      <c r="AT108" s="65"/>
      <c r="AU108" s="65"/>
      <c r="AV108" s="65"/>
      <c r="AX108" s="65"/>
      <c r="AY108" s="43"/>
      <c r="AZ108" s="43"/>
      <c r="BA108" s="45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65"/>
      <c r="BM108" s="43"/>
    </row>
    <row r="109" spans="1:65" x14ac:dyDescent="0.2">
      <c r="B109" s="45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Q109" s="65"/>
      <c r="AR109" s="65"/>
      <c r="AS109" s="65"/>
      <c r="AT109" s="65"/>
      <c r="AU109" s="65"/>
      <c r="AV109" s="65"/>
      <c r="AX109" s="65"/>
      <c r="AY109" s="43"/>
      <c r="AZ109" s="43"/>
      <c r="BA109" s="45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65"/>
      <c r="BM109" s="43"/>
    </row>
    <row r="110" spans="1:65" x14ac:dyDescent="0.2">
      <c r="B110" s="45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Q110" s="65"/>
      <c r="AR110" s="65"/>
      <c r="AS110" s="65"/>
      <c r="AT110" s="65"/>
      <c r="AU110" s="65"/>
      <c r="AV110" s="65"/>
      <c r="AX110" s="65"/>
      <c r="AY110" s="43"/>
      <c r="AZ110" s="43"/>
      <c r="BA110" s="45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65"/>
      <c r="BM110" s="43"/>
    </row>
    <row r="111" spans="1:65" x14ac:dyDescent="0.2">
      <c r="B111" s="45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Q111" s="65"/>
      <c r="AR111" s="65"/>
      <c r="AS111" s="65"/>
      <c r="AT111" s="65"/>
      <c r="AU111" s="65"/>
      <c r="AV111" s="65"/>
      <c r="AX111" s="65"/>
      <c r="AY111" s="43"/>
      <c r="AZ111" s="43"/>
      <c r="BA111" s="45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65"/>
      <c r="BM111" s="43"/>
    </row>
    <row r="112" spans="1:65" x14ac:dyDescent="0.2">
      <c r="B112" s="45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Q112" s="65"/>
      <c r="AR112" s="65"/>
      <c r="AS112" s="65"/>
      <c r="AT112" s="65"/>
      <c r="AU112" s="65"/>
      <c r="AV112" s="65"/>
      <c r="AX112" s="65"/>
      <c r="AY112" s="43"/>
      <c r="AZ112" s="43"/>
      <c r="BA112" s="45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65"/>
      <c r="BM112" s="43"/>
    </row>
    <row r="113" spans="2:65" customFormat="1" x14ac:dyDescent="0.2">
      <c r="B113" s="45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56"/>
      <c r="AJ113" s="68"/>
      <c r="AK113" s="56"/>
      <c r="AL113" s="68"/>
      <c r="AM113" s="56"/>
      <c r="AN113" s="68"/>
      <c r="AO113" s="56"/>
      <c r="AP113" s="68"/>
      <c r="AQ113" s="65"/>
      <c r="AR113" s="65"/>
      <c r="AS113" s="65"/>
      <c r="AT113" s="65"/>
      <c r="AU113" s="65"/>
      <c r="AV113" s="65"/>
      <c r="AW113" s="56"/>
      <c r="AX113" s="65"/>
      <c r="AY113" s="43"/>
      <c r="AZ113" s="43"/>
      <c r="BA113" s="45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65"/>
      <c r="BM113" s="43"/>
    </row>
    <row r="114" spans="2:65" customFormat="1" x14ac:dyDescent="0.2">
      <c r="B114" s="45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56"/>
      <c r="AJ114" s="68"/>
      <c r="AK114" s="56"/>
      <c r="AL114" s="68"/>
      <c r="AM114" s="56"/>
      <c r="AN114" s="68"/>
      <c r="AO114" s="56"/>
      <c r="AP114" s="68"/>
      <c r="AQ114" s="65"/>
      <c r="AR114" s="65"/>
      <c r="AS114" s="65"/>
      <c r="AT114" s="65"/>
      <c r="AU114" s="65"/>
      <c r="AV114" s="65"/>
      <c r="AW114" s="56"/>
      <c r="AX114" s="65"/>
      <c r="AY114" s="43"/>
      <c r="AZ114" s="43"/>
      <c r="BA114" s="45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65"/>
      <c r="BM114" s="43"/>
    </row>
    <row r="115" spans="2:65" customFormat="1" x14ac:dyDescent="0.2">
      <c r="B115" s="45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56"/>
      <c r="AJ115" s="68"/>
      <c r="AK115" s="56"/>
      <c r="AL115" s="68"/>
      <c r="AM115" s="56"/>
      <c r="AN115" s="68"/>
      <c r="AO115" s="56"/>
      <c r="AP115" s="68"/>
      <c r="AQ115" s="65"/>
      <c r="AR115" s="65"/>
      <c r="AS115" s="65"/>
      <c r="AT115" s="65"/>
      <c r="AU115" s="65"/>
      <c r="AV115" s="65"/>
      <c r="AW115" s="56"/>
      <c r="AX115" s="65"/>
      <c r="AY115" s="43"/>
      <c r="AZ115" s="43"/>
      <c r="BA115" s="45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65"/>
      <c r="BM115" s="43"/>
    </row>
    <row r="116" spans="2:65" customFormat="1" x14ac:dyDescent="0.2">
      <c r="B116" s="45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56"/>
      <c r="AJ116" s="68"/>
      <c r="AK116" s="56"/>
      <c r="AL116" s="68"/>
      <c r="AM116" s="56"/>
      <c r="AN116" s="68"/>
      <c r="AO116" s="56"/>
      <c r="AP116" s="68"/>
      <c r="AQ116" s="65"/>
      <c r="AR116" s="65"/>
      <c r="AS116" s="65"/>
      <c r="AT116" s="65"/>
      <c r="AU116" s="65"/>
      <c r="AV116" s="65"/>
      <c r="AW116" s="56"/>
      <c r="AX116" s="65"/>
      <c r="AY116" s="43"/>
      <c r="AZ116" s="43"/>
      <c r="BA116" s="45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65"/>
      <c r="BM116" s="43"/>
    </row>
    <row r="117" spans="2:65" customFormat="1" x14ac:dyDescent="0.2">
      <c r="B117" s="45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56"/>
      <c r="AJ117" s="68"/>
      <c r="AK117" s="56"/>
      <c r="AL117" s="68"/>
      <c r="AM117" s="56"/>
      <c r="AN117" s="68"/>
      <c r="AO117" s="56"/>
      <c r="AP117" s="68"/>
      <c r="AQ117" s="65"/>
      <c r="AR117" s="65"/>
      <c r="AS117" s="65"/>
      <c r="AT117" s="65"/>
      <c r="AU117" s="65"/>
      <c r="AV117" s="65"/>
      <c r="AW117" s="56"/>
      <c r="AX117" s="65"/>
      <c r="AY117" s="43"/>
      <c r="AZ117" s="43"/>
      <c r="BA117" s="45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65"/>
      <c r="BM117" s="43"/>
    </row>
    <row r="118" spans="2:65" customFormat="1" x14ac:dyDescent="0.2">
      <c r="B118" s="45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56"/>
      <c r="AJ118" s="68"/>
      <c r="AK118" s="56"/>
      <c r="AL118" s="68"/>
      <c r="AM118" s="56"/>
      <c r="AN118" s="68"/>
      <c r="AO118" s="56"/>
      <c r="AP118" s="68"/>
      <c r="AQ118" s="65"/>
      <c r="AR118" s="65"/>
      <c r="AS118" s="65"/>
      <c r="AT118" s="65"/>
      <c r="AU118" s="65"/>
      <c r="AV118" s="65"/>
      <c r="AW118" s="56"/>
      <c r="AX118" s="65"/>
      <c r="AY118" s="43"/>
      <c r="AZ118" s="43"/>
      <c r="BA118" s="45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65"/>
      <c r="BM118" s="43"/>
    </row>
    <row r="119" spans="2:65" customFormat="1" x14ac:dyDescent="0.2">
      <c r="B119" s="45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56"/>
      <c r="AJ119" s="68"/>
      <c r="AK119" s="56"/>
      <c r="AL119" s="68"/>
      <c r="AM119" s="56"/>
      <c r="AN119" s="68"/>
      <c r="AO119" s="56"/>
      <c r="AP119" s="68"/>
      <c r="AQ119" s="65"/>
      <c r="AR119" s="65"/>
      <c r="AS119" s="65"/>
      <c r="AT119" s="65"/>
      <c r="AU119" s="65"/>
      <c r="AV119" s="65"/>
      <c r="AW119" s="56"/>
      <c r="AX119" s="65"/>
      <c r="AY119" s="43"/>
      <c r="AZ119" s="43"/>
      <c r="BA119" s="45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65"/>
      <c r="BM119" s="43"/>
    </row>
    <row r="120" spans="2:65" customFormat="1" x14ac:dyDescent="0.2">
      <c r="B120" s="45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56"/>
      <c r="AJ120" s="68"/>
      <c r="AK120" s="56"/>
      <c r="AL120" s="68"/>
      <c r="AM120" s="56"/>
      <c r="AN120" s="68"/>
      <c r="AO120" s="56"/>
      <c r="AP120" s="68"/>
      <c r="AQ120" s="65"/>
      <c r="AR120" s="65"/>
      <c r="AS120" s="65"/>
      <c r="AT120" s="65"/>
      <c r="AU120" s="65"/>
      <c r="AV120" s="65"/>
      <c r="AW120" s="56"/>
      <c r="AX120" s="65"/>
      <c r="AY120" s="43"/>
      <c r="AZ120" s="43"/>
      <c r="BA120" s="45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65"/>
      <c r="BM120" s="43"/>
    </row>
    <row r="121" spans="2:65" customFormat="1" x14ac:dyDescent="0.2">
      <c r="B121" s="45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56"/>
      <c r="AJ121" s="68"/>
      <c r="AK121" s="56"/>
      <c r="AL121" s="68"/>
      <c r="AM121" s="56"/>
      <c r="AN121" s="68"/>
      <c r="AO121" s="56"/>
      <c r="AP121" s="68"/>
      <c r="AQ121" s="65"/>
      <c r="AR121" s="65"/>
      <c r="AS121" s="65"/>
      <c r="AT121" s="65"/>
      <c r="AU121" s="65"/>
      <c r="AV121" s="65"/>
      <c r="AW121" s="56"/>
      <c r="AX121" s="65"/>
      <c r="AY121" s="43"/>
      <c r="AZ121" s="43"/>
      <c r="BA121" s="45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65"/>
      <c r="BM121" s="43"/>
    </row>
    <row r="122" spans="2:65" customFormat="1" x14ac:dyDescent="0.2">
      <c r="B122" s="45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56"/>
      <c r="AJ122" s="68"/>
      <c r="AK122" s="56"/>
      <c r="AL122" s="68"/>
      <c r="AM122" s="56"/>
      <c r="AN122" s="68"/>
      <c r="AO122" s="56"/>
      <c r="AP122" s="68"/>
      <c r="AQ122" s="65"/>
      <c r="AR122" s="65"/>
      <c r="AS122" s="65"/>
      <c r="AT122" s="65"/>
      <c r="AU122" s="65"/>
      <c r="AV122" s="65"/>
      <c r="AW122" s="56"/>
      <c r="AX122" s="65"/>
      <c r="AY122" s="43"/>
      <c r="AZ122" s="43"/>
      <c r="BA122" s="45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65"/>
      <c r="BM122" s="43"/>
    </row>
    <row r="123" spans="2:65" customFormat="1" x14ac:dyDescent="0.2">
      <c r="B123" s="45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56"/>
      <c r="AJ123" s="68"/>
      <c r="AK123" s="56"/>
      <c r="AL123" s="68"/>
      <c r="AM123" s="56"/>
      <c r="AN123" s="68"/>
      <c r="AO123" s="56"/>
      <c r="AP123" s="68"/>
      <c r="AQ123" s="65"/>
      <c r="AR123" s="65"/>
      <c r="AS123" s="65"/>
      <c r="AT123" s="65"/>
      <c r="AU123" s="65"/>
      <c r="AV123" s="65"/>
      <c r="AW123" s="56"/>
      <c r="AX123" s="65"/>
      <c r="AY123" s="43"/>
      <c r="AZ123" s="43"/>
      <c r="BA123" s="45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65"/>
      <c r="BM123" s="43"/>
    </row>
    <row r="124" spans="2:65" customFormat="1" x14ac:dyDescent="0.2">
      <c r="B124" s="45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56"/>
      <c r="AJ124" s="68"/>
      <c r="AK124" s="56"/>
      <c r="AL124" s="68"/>
      <c r="AM124" s="56"/>
      <c r="AN124" s="68"/>
      <c r="AO124" s="56"/>
      <c r="AP124" s="68"/>
      <c r="AQ124" s="65"/>
      <c r="AR124" s="65"/>
      <c r="AS124" s="65"/>
      <c r="AT124" s="65"/>
      <c r="AU124" s="65"/>
      <c r="AV124" s="65"/>
      <c r="AW124" s="56"/>
      <c r="AX124" s="65"/>
      <c r="AY124" s="43"/>
      <c r="AZ124" s="43"/>
      <c r="BA124" s="45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65"/>
      <c r="BM124" s="43"/>
    </row>
    <row r="125" spans="2:65" customFormat="1" x14ac:dyDescent="0.2">
      <c r="B125" s="45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56"/>
      <c r="AJ125" s="68"/>
      <c r="AK125" s="56"/>
      <c r="AL125" s="68"/>
      <c r="AM125" s="56"/>
      <c r="AN125" s="68"/>
      <c r="AO125" s="56"/>
      <c r="AP125" s="68"/>
      <c r="AQ125" s="65"/>
      <c r="AR125" s="65"/>
      <c r="AS125" s="65"/>
      <c r="AT125" s="65"/>
      <c r="AU125" s="65"/>
      <c r="AV125" s="65"/>
      <c r="AW125" s="56"/>
      <c r="AX125" s="65"/>
      <c r="AY125" s="43"/>
      <c r="AZ125" s="43"/>
      <c r="BA125" s="45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65"/>
      <c r="BM125" s="43"/>
    </row>
    <row r="126" spans="2:65" customFormat="1" x14ac:dyDescent="0.2">
      <c r="B126" s="45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56"/>
      <c r="AJ126" s="68"/>
      <c r="AK126" s="56"/>
      <c r="AL126" s="68"/>
      <c r="AM126" s="56"/>
      <c r="AN126" s="68"/>
      <c r="AO126" s="56"/>
      <c r="AP126" s="68"/>
      <c r="AQ126" s="65"/>
      <c r="AR126" s="65"/>
      <c r="AS126" s="65"/>
      <c r="AT126" s="65"/>
      <c r="AU126" s="65"/>
      <c r="AV126" s="65"/>
      <c r="AW126" s="56"/>
      <c r="AX126" s="65"/>
      <c r="AY126" s="43"/>
      <c r="AZ126" s="43"/>
      <c r="BA126" s="45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65"/>
      <c r="BM126" s="43"/>
    </row>
    <row r="127" spans="2:65" customFormat="1" x14ac:dyDescent="0.2">
      <c r="B127" s="45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56"/>
      <c r="AJ127" s="68"/>
      <c r="AK127" s="56"/>
      <c r="AL127" s="68"/>
      <c r="AM127" s="56"/>
      <c r="AN127" s="68"/>
      <c r="AO127" s="56"/>
      <c r="AP127" s="68"/>
      <c r="AQ127" s="65"/>
      <c r="AR127" s="65"/>
      <c r="AS127" s="65"/>
      <c r="AT127" s="65"/>
      <c r="AU127" s="65"/>
      <c r="AV127" s="65"/>
      <c r="AW127" s="56"/>
      <c r="AX127" s="65"/>
      <c r="AY127" s="43"/>
      <c r="AZ127" s="43"/>
      <c r="BA127" s="45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65"/>
      <c r="BM127" s="43"/>
    </row>
    <row r="128" spans="2:65" customFormat="1" x14ac:dyDescent="0.2">
      <c r="B128" s="45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56"/>
      <c r="AJ128" s="68"/>
      <c r="AK128" s="56"/>
      <c r="AL128" s="68"/>
      <c r="AM128" s="56"/>
      <c r="AN128" s="68"/>
      <c r="AO128" s="56"/>
      <c r="AP128" s="68"/>
      <c r="AQ128" s="65"/>
      <c r="AR128" s="65"/>
      <c r="AS128" s="65"/>
      <c r="AT128" s="65"/>
      <c r="AU128" s="65"/>
      <c r="AV128" s="65"/>
      <c r="AW128" s="56"/>
      <c r="AX128" s="65"/>
      <c r="AY128" s="43"/>
      <c r="AZ128" s="43"/>
      <c r="BA128" s="45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65"/>
      <c r="BM128" s="43"/>
    </row>
    <row r="129" spans="2:65" customFormat="1" x14ac:dyDescent="0.2">
      <c r="B129" s="45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56"/>
      <c r="AJ129" s="68"/>
      <c r="AK129" s="56"/>
      <c r="AL129" s="68"/>
      <c r="AM129" s="56"/>
      <c r="AN129" s="68"/>
      <c r="AO129" s="56"/>
      <c r="AP129" s="68"/>
      <c r="AQ129" s="65"/>
      <c r="AR129" s="65"/>
      <c r="AS129" s="65"/>
      <c r="AT129" s="65"/>
      <c r="AU129" s="65"/>
      <c r="AV129" s="65"/>
      <c r="AW129" s="56"/>
      <c r="AX129" s="65"/>
      <c r="AY129" s="43"/>
      <c r="AZ129" s="43"/>
      <c r="BA129" s="45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65"/>
      <c r="BM129" s="43"/>
    </row>
    <row r="130" spans="2:65" customFormat="1" x14ac:dyDescent="0.2">
      <c r="B130" s="45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56"/>
      <c r="AJ130" s="68"/>
      <c r="AK130" s="56"/>
      <c r="AL130" s="68"/>
      <c r="AM130" s="56"/>
      <c r="AN130" s="68"/>
      <c r="AO130" s="56"/>
      <c r="AP130" s="68"/>
      <c r="AQ130" s="65"/>
      <c r="AR130" s="65"/>
      <c r="AS130" s="65"/>
      <c r="AT130" s="65"/>
      <c r="AU130" s="65"/>
      <c r="AV130" s="65"/>
      <c r="AW130" s="56"/>
      <c r="AX130" s="65"/>
      <c r="AY130" s="43"/>
      <c r="AZ130" s="43"/>
      <c r="BA130" s="45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65"/>
      <c r="BM130" s="43"/>
    </row>
    <row r="131" spans="2:65" customFormat="1" x14ac:dyDescent="0.2">
      <c r="B131" s="45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56"/>
      <c r="AJ131" s="68"/>
      <c r="AK131" s="56"/>
      <c r="AL131" s="68"/>
      <c r="AM131" s="56"/>
      <c r="AN131" s="68"/>
      <c r="AO131" s="56"/>
      <c r="AP131" s="68"/>
      <c r="AQ131" s="65"/>
      <c r="AR131" s="65"/>
      <c r="AS131" s="65"/>
      <c r="AT131" s="65"/>
      <c r="AU131" s="65"/>
      <c r="AV131" s="65"/>
      <c r="AW131" s="56"/>
      <c r="AX131" s="65"/>
      <c r="AY131" s="43"/>
      <c r="AZ131" s="43"/>
      <c r="BA131" s="45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65"/>
      <c r="BM131" s="43"/>
    </row>
    <row r="132" spans="2:65" customFormat="1" x14ac:dyDescent="0.2">
      <c r="B132" s="45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56"/>
      <c r="AJ132" s="68"/>
      <c r="AK132" s="56"/>
      <c r="AL132" s="68"/>
      <c r="AM132" s="56"/>
      <c r="AN132" s="68"/>
      <c r="AO132" s="56"/>
      <c r="AP132" s="68"/>
      <c r="AQ132" s="65"/>
      <c r="AR132" s="65"/>
      <c r="AS132" s="65"/>
      <c r="AT132" s="65"/>
      <c r="AU132" s="65"/>
      <c r="AV132" s="65"/>
      <c r="AW132" s="56"/>
      <c r="AX132" s="65"/>
      <c r="AY132" s="43"/>
      <c r="AZ132" s="43"/>
      <c r="BA132" s="45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65"/>
      <c r="BM132" s="43"/>
    </row>
    <row r="133" spans="2:65" customFormat="1" x14ac:dyDescent="0.2">
      <c r="B133" s="45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56"/>
      <c r="AJ133" s="68"/>
      <c r="AK133" s="56"/>
      <c r="AL133" s="68"/>
      <c r="AM133" s="56"/>
      <c r="AN133" s="68"/>
      <c r="AO133" s="56"/>
      <c r="AP133" s="68"/>
      <c r="AQ133" s="65"/>
      <c r="AR133" s="65"/>
      <c r="AS133" s="65"/>
      <c r="AT133" s="65"/>
      <c r="AU133" s="65"/>
      <c r="AV133" s="65"/>
      <c r="AW133" s="56"/>
      <c r="AX133" s="65"/>
      <c r="AY133" s="43"/>
      <c r="AZ133" s="43"/>
      <c r="BA133" s="45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65"/>
      <c r="BM133" s="43"/>
    </row>
    <row r="134" spans="2:65" customFormat="1" x14ac:dyDescent="0.2">
      <c r="B134" s="45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56"/>
      <c r="AJ134" s="68"/>
      <c r="AK134" s="56"/>
      <c r="AL134" s="68"/>
      <c r="AM134" s="56"/>
      <c r="AN134" s="68"/>
      <c r="AO134" s="56"/>
      <c r="AP134" s="68"/>
      <c r="AQ134" s="65"/>
      <c r="AR134" s="65"/>
      <c r="AS134" s="65"/>
      <c r="AT134" s="65"/>
      <c r="AU134" s="65"/>
      <c r="AV134" s="65"/>
      <c r="AW134" s="56"/>
      <c r="AX134" s="65"/>
      <c r="AY134" s="43"/>
      <c r="AZ134" s="43"/>
      <c r="BA134" s="45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65"/>
      <c r="BM134" s="43"/>
    </row>
    <row r="135" spans="2:65" customFormat="1" x14ac:dyDescent="0.2">
      <c r="B135" s="45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56"/>
      <c r="AJ135" s="68"/>
      <c r="AK135" s="56"/>
      <c r="AL135" s="68"/>
      <c r="AM135" s="56"/>
      <c r="AN135" s="68"/>
      <c r="AO135" s="56"/>
      <c r="AP135" s="68"/>
      <c r="AQ135" s="65"/>
      <c r="AR135" s="65"/>
      <c r="AS135" s="65"/>
      <c r="AT135" s="65"/>
      <c r="AU135" s="65"/>
      <c r="AV135" s="65"/>
      <c r="AW135" s="56"/>
      <c r="AX135" s="65"/>
      <c r="AY135" s="43"/>
      <c r="AZ135" s="43"/>
      <c r="BA135" s="45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65"/>
      <c r="BM135" s="43"/>
    </row>
    <row r="136" spans="2:65" customFormat="1" x14ac:dyDescent="0.2">
      <c r="B136" s="45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56"/>
      <c r="AJ136" s="68"/>
      <c r="AK136" s="56"/>
      <c r="AL136" s="68"/>
      <c r="AM136" s="56"/>
      <c r="AN136" s="68"/>
      <c r="AO136" s="56"/>
      <c r="AP136" s="68"/>
      <c r="AQ136" s="65"/>
      <c r="AR136" s="65"/>
      <c r="AS136" s="65"/>
      <c r="AT136" s="65"/>
      <c r="AU136" s="65"/>
      <c r="AV136" s="65"/>
      <c r="AW136" s="56"/>
      <c r="AX136" s="65"/>
      <c r="AY136" s="43"/>
      <c r="AZ136" s="43"/>
      <c r="BA136" s="45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65"/>
      <c r="BM136" s="43"/>
    </row>
    <row r="137" spans="2:65" customFormat="1" x14ac:dyDescent="0.2">
      <c r="B137" s="45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56"/>
      <c r="AJ137" s="68"/>
      <c r="AK137" s="56"/>
      <c r="AL137" s="68"/>
      <c r="AM137" s="56"/>
      <c r="AN137" s="68"/>
      <c r="AO137" s="56"/>
      <c r="AP137" s="68"/>
      <c r="AQ137" s="65"/>
      <c r="AR137" s="65"/>
      <c r="AS137" s="65"/>
      <c r="AT137" s="65"/>
      <c r="AU137" s="65"/>
      <c r="AV137" s="65"/>
      <c r="AW137" s="56"/>
      <c r="AX137" s="65"/>
      <c r="AY137" s="43"/>
      <c r="AZ137" s="43"/>
      <c r="BA137" s="45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65"/>
      <c r="BM137" s="43"/>
    </row>
    <row r="138" spans="2:65" customFormat="1" x14ac:dyDescent="0.2">
      <c r="B138" s="45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56"/>
      <c r="AJ138" s="68"/>
      <c r="AK138" s="56"/>
      <c r="AL138" s="68"/>
      <c r="AM138" s="56"/>
      <c r="AN138" s="68"/>
      <c r="AO138" s="56"/>
      <c r="AP138" s="68"/>
      <c r="AQ138" s="65"/>
      <c r="AR138" s="65"/>
      <c r="AS138" s="65"/>
      <c r="AT138" s="65"/>
      <c r="AU138" s="65"/>
      <c r="AV138" s="65"/>
      <c r="AW138" s="56"/>
      <c r="AX138" s="65"/>
      <c r="AY138" s="43"/>
      <c r="AZ138" s="43"/>
      <c r="BA138" s="45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65"/>
      <c r="BM138" s="43"/>
    </row>
    <row r="139" spans="2:65" customFormat="1" x14ac:dyDescent="0.2">
      <c r="B139" s="45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56"/>
      <c r="AJ139" s="68"/>
      <c r="AK139" s="56"/>
      <c r="AL139" s="68"/>
      <c r="AM139" s="56"/>
      <c r="AN139" s="68"/>
      <c r="AO139" s="56"/>
      <c r="AP139" s="68"/>
      <c r="AQ139" s="65"/>
      <c r="AR139" s="65"/>
      <c r="AS139" s="65"/>
      <c r="AT139" s="65"/>
      <c r="AU139" s="65"/>
      <c r="AV139" s="65"/>
      <c r="AW139" s="56"/>
      <c r="AX139" s="65"/>
      <c r="AY139" s="43"/>
      <c r="AZ139" s="43"/>
      <c r="BA139" s="45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65"/>
      <c r="BM139" s="43"/>
    </row>
    <row r="140" spans="2:65" customFormat="1" x14ac:dyDescent="0.2">
      <c r="B140" s="45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56"/>
      <c r="AJ140" s="68"/>
      <c r="AK140" s="56"/>
      <c r="AL140" s="68"/>
      <c r="AM140" s="56"/>
      <c r="AN140" s="68"/>
      <c r="AO140" s="56"/>
      <c r="AP140" s="68"/>
      <c r="AQ140" s="65"/>
      <c r="AR140" s="65"/>
      <c r="AS140" s="65"/>
      <c r="AT140" s="65"/>
      <c r="AU140" s="65"/>
      <c r="AV140" s="65"/>
      <c r="AW140" s="56"/>
      <c r="AX140" s="65"/>
      <c r="AY140" s="43"/>
      <c r="AZ140" s="43"/>
      <c r="BA140" s="45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65"/>
      <c r="BM140" s="43"/>
    </row>
    <row r="141" spans="2:65" customFormat="1" x14ac:dyDescent="0.2">
      <c r="B141" s="45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56"/>
      <c r="AJ141" s="68"/>
      <c r="AK141" s="56"/>
      <c r="AL141" s="68"/>
      <c r="AM141" s="56"/>
      <c r="AN141" s="68"/>
      <c r="AO141" s="56"/>
      <c r="AP141" s="68"/>
      <c r="AQ141" s="65"/>
      <c r="AR141" s="65"/>
      <c r="AS141" s="65"/>
      <c r="AT141" s="65"/>
      <c r="AU141" s="65"/>
      <c r="AV141" s="65"/>
      <c r="AW141" s="56"/>
      <c r="AX141" s="65"/>
      <c r="AY141" s="43"/>
      <c r="AZ141" s="43"/>
      <c r="BA141" s="45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65"/>
      <c r="BM141" s="43"/>
    </row>
    <row r="142" spans="2:65" customFormat="1" x14ac:dyDescent="0.2">
      <c r="B142" s="45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56"/>
      <c r="AJ142" s="68"/>
      <c r="AK142" s="56"/>
      <c r="AL142" s="68"/>
      <c r="AM142" s="56"/>
      <c r="AN142" s="68"/>
      <c r="AO142" s="56"/>
      <c r="AP142" s="68"/>
      <c r="AQ142" s="65"/>
      <c r="AR142" s="65"/>
      <c r="AS142" s="65"/>
      <c r="AT142" s="65"/>
      <c r="AU142" s="65"/>
      <c r="AV142" s="65"/>
      <c r="AW142" s="56"/>
      <c r="AX142" s="65"/>
      <c r="AY142" s="43"/>
      <c r="AZ142" s="43"/>
      <c r="BA142" s="45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65"/>
      <c r="BM142" s="43"/>
    </row>
    <row r="143" spans="2:65" customFormat="1" x14ac:dyDescent="0.2">
      <c r="B143" s="45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56"/>
      <c r="AJ143" s="68"/>
      <c r="AK143" s="56"/>
      <c r="AL143" s="68"/>
      <c r="AM143" s="56"/>
      <c r="AN143" s="68"/>
      <c r="AO143" s="56"/>
      <c r="AP143" s="68"/>
      <c r="AQ143" s="65"/>
      <c r="AR143" s="65"/>
      <c r="AS143" s="65"/>
      <c r="AT143" s="65"/>
      <c r="AU143" s="65"/>
      <c r="AV143" s="65"/>
      <c r="AW143" s="56"/>
      <c r="AX143" s="65"/>
      <c r="AY143" s="43"/>
      <c r="AZ143" s="43"/>
      <c r="BA143" s="45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65"/>
      <c r="BM143" s="43"/>
    </row>
    <row r="144" spans="2:65" customFormat="1" x14ac:dyDescent="0.2">
      <c r="B144" s="45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56"/>
      <c r="AJ144" s="68"/>
      <c r="AK144" s="56"/>
      <c r="AL144" s="68"/>
      <c r="AM144" s="56"/>
      <c r="AN144" s="68"/>
      <c r="AO144" s="56"/>
      <c r="AP144" s="68"/>
      <c r="AQ144" s="65"/>
      <c r="AR144" s="65"/>
      <c r="AS144" s="65"/>
      <c r="AT144" s="65"/>
      <c r="AU144" s="65"/>
      <c r="AV144" s="65"/>
      <c r="AW144" s="56"/>
      <c r="AX144" s="65"/>
      <c r="AY144" s="43"/>
      <c r="AZ144" s="43"/>
      <c r="BA144" s="45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65"/>
      <c r="BM144" s="43"/>
    </row>
    <row r="145" spans="2:65" customFormat="1" x14ac:dyDescent="0.2">
      <c r="B145" s="45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56"/>
      <c r="AJ145" s="68"/>
      <c r="AK145" s="56"/>
      <c r="AL145" s="68"/>
      <c r="AM145" s="56"/>
      <c r="AN145" s="68"/>
      <c r="AO145" s="56"/>
      <c r="AP145" s="68"/>
      <c r="AQ145" s="65"/>
      <c r="AR145" s="65"/>
      <c r="AS145" s="65"/>
      <c r="AT145" s="65"/>
      <c r="AU145" s="65"/>
      <c r="AV145" s="65"/>
      <c r="AW145" s="56"/>
      <c r="AX145" s="65"/>
      <c r="AY145" s="43"/>
      <c r="AZ145" s="43"/>
      <c r="BA145" s="45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65"/>
      <c r="BM145" s="43"/>
    </row>
    <row r="146" spans="2:65" customFormat="1" x14ac:dyDescent="0.2">
      <c r="B146" s="45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56"/>
      <c r="AJ146" s="68"/>
      <c r="AK146" s="56"/>
      <c r="AL146" s="68"/>
      <c r="AM146" s="56"/>
      <c r="AN146" s="68"/>
      <c r="AO146" s="56"/>
      <c r="AP146" s="68"/>
      <c r="AQ146" s="65"/>
      <c r="AR146" s="65"/>
      <c r="AS146" s="65"/>
      <c r="AT146" s="65"/>
      <c r="AU146" s="65"/>
      <c r="AV146" s="65"/>
      <c r="AW146" s="56"/>
      <c r="AX146" s="65"/>
      <c r="AY146" s="43"/>
      <c r="AZ146" s="43"/>
      <c r="BA146" s="45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65"/>
      <c r="BM146" s="43"/>
    </row>
    <row r="147" spans="2:65" customFormat="1" x14ac:dyDescent="0.2">
      <c r="B147" s="45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56"/>
      <c r="AJ147" s="68"/>
      <c r="AK147" s="56"/>
      <c r="AL147" s="68"/>
      <c r="AM147" s="56"/>
      <c r="AN147" s="68"/>
      <c r="AO147" s="56"/>
      <c r="AP147" s="68"/>
      <c r="AQ147" s="65"/>
      <c r="AR147" s="65"/>
      <c r="AS147" s="65"/>
      <c r="AT147" s="65"/>
      <c r="AU147" s="65"/>
      <c r="AV147" s="65"/>
      <c r="AW147" s="56"/>
      <c r="AX147" s="65"/>
      <c r="AY147" s="43"/>
      <c r="AZ147" s="43"/>
      <c r="BA147" s="45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65"/>
      <c r="BM147" s="43"/>
    </row>
    <row r="148" spans="2:65" customFormat="1" x14ac:dyDescent="0.2">
      <c r="B148" s="45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56"/>
      <c r="AJ148" s="68"/>
      <c r="AK148" s="56"/>
      <c r="AL148" s="68"/>
      <c r="AM148" s="56"/>
      <c r="AN148" s="68"/>
      <c r="AO148" s="56"/>
      <c r="AP148" s="68"/>
      <c r="AQ148" s="65"/>
      <c r="AR148" s="65"/>
      <c r="AS148" s="65"/>
      <c r="AT148" s="65"/>
      <c r="AU148" s="65"/>
      <c r="AV148" s="65"/>
      <c r="AW148" s="56"/>
      <c r="AX148" s="65"/>
      <c r="AY148" s="43"/>
      <c r="AZ148" s="43"/>
      <c r="BA148" s="45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65"/>
      <c r="BM148" s="43"/>
    </row>
    <row r="149" spans="2:65" customFormat="1" x14ac:dyDescent="0.2">
      <c r="B149" s="45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56"/>
      <c r="AJ149" s="68"/>
      <c r="AK149" s="56"/>
      <c r="AL149" s="68"/>
      <c r="AM149" s="56"/>
      <c r="AN149" s="68"/>
      <c r="AO149" s="56"/>
      <c r="AP149" s="68"/>
      <c r="AQ149" s="65"/>
      <c r="AR149" s="65"/>
      <c r="AS149" s="65"/>
      <c r="AT149" s="65"/>
      <c r="AU149" s="65"/>
      <c r="AV149" s="65"/>
      <c r="AW149" s="56"/>
      <c r="AX149" s="65"/>
      <c r="AY149" s="43"/>
      <c r="AZ149" s="43"/>
      <c r="BA149" s="45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65"/>
      <c r="BM149" s="43"/>
    </row>
    <row r="150" spans="2:65" customFormat="1" x14ac:dyDescent="0.2">
      <c r="B150" s="45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56"/>
      <c r="AJ150" s="68"/>
      <c r="AK150" s="56"/>
      <c r="AL150" s="68"/>
      <c r="AM150" s="56"/>
      <c r="AN150" s="68"/>
      <c r="AO150" s="56"/>
      <c r="AP150" s="68"/>
      <c r="AQ150" s="65"/>
      <c r="AR150" s="65"/>
      <c r="AS150" s="65"/>
      <c r="AT150" s="65"/>
      <c r="AU150" s="65"/>
      <c r="AV150" s="65"/>
      <c r="AW150" s="56"/>
      <c r="AX150" s="65"/>
      <c r="AY150" s="43"/>
      <c r="AZ150" s="43"/>
      <c r="BA150" s="45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65"/>
      <c r="BM150" s="43"/>
    </row>
    <row r="151" spans="2:65" customFormat="1" x14ac:dyDescent="0.2">
      <c r="B151" s="45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56"/>
      <c r="AJ151" s="68"/>
      <c r="AK151" s="56"/>
      <c r="AL151" s="68"/>
      <c r="AM151" s="56"/>
      <c r="AN151" s="68"/>
      <c r="AO151" s="56"/>
      <c r="AP151" s="68"/>
      <c r="AQ151" s="65"/>
      <c r="AR151" s="65"/>
      <c r="AS151" s="65"/>
      <c r="AT151" s="65"/>
      <c r="AU151" s="65"/>
      <c r="AV151" s="65"/>
      <c r="AW151" s="56"/>
      <c r="AX151" s="65"/>
      <c r="AY151" s="43"/>
      <c r="AZ151" s="43"/>
      <c r="BA151" s="45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65"/>
      <c r="BM151" s="43"/>
    </row>
    <row r="152" spans="2:65" customFormat="1" x14ac:dyDescent="0.2">
      <c r="B152" s="45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56"/>
      <c r="AJ152" s="68"/>
      <c r="AK152" s="56"/>
      <c r="AL152" s="68"/>
      <c r="AM152" s="56"/>
      <c r="AN152" s="68"/>
      <c r="AO152" s="56"/>
      <c r="AP152" s="68"/>
      <c r="AQ152" s="65"/>
      <c r="AR152" s="65"/>
      <c r="AS152" s="65"/>
      <c r="AT152" s="65"/>
      <c r="AU152" s="65"/>
      <c r="AV152" s="65"/>
      <c r="AW152" s="56"/>
      <c r="AX152" s="65"/>
      <c r="AY152" s="43"/>
      <c r="AZ152" s="43"/>
      <c r="BA152" s="45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65"/>
      <c r="BM152" s="43"/>
    </row>
    <row r="153" spans="2:65" customFormat="1" x14ac:dyDescent="0.2">
      <c r="B153" s="45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56"/>
      <c r="AJ153" s="68"/>
      <c r="AK153" s="56"/>
      <c r="AL153" s="68"/>
      <c r="AM153" s="56"/>
      <c r="AN153" s="68"/>
      <c r="AO153" s="56"/>
      <c r="AP153" s="68"/>
      <c r="AQ153" s="65"/>
      <c r="AR153" s="65"/>
      <c r="AS153" s="65"/>
      <c r="AT153" s="65"/>
      <c r="AU153" s="65"/>
      <c r="AV153" s="65"/>
      <c r="AW153" s="56"/>
      <c r="AX153" s="65"/>
      <c r="AY153" s="43"/>
      <c r="AZ153" s="43"/>
      <c r="BA153" s="45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65"/>
      <c r="BM153" s="43"/>
    </row>
    <row r="154" spans="2:65" customFormat="1" x14ac:dyDescent="0.2">
      <c r="B154" s="45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56"/>
      <c r="AJ154" s="68"/>
      <c r="AK154" s="56"/>
      <c r="AL154" s="68"/>
      <c r="AM154" s="56"/>
      <c r="AN154" s="68"/>
      <c r="AO154" s="56"/>
      <c r="AP154" s="68"/>
      <c r="AQ154" s="65"/>
      <c r="AR154" s="65"/>
      <c r="AS154" s="65"/>
      <c r="AT154" s="65"/>
      <c r="AU154" s="65"/>
      <c r="AV154" s="65"/>
      <c r="AW154" s="56"/>
      <c r="AX154" s="65"/>
      <c r="AY154" s="43"/>
      <c r="AZ154" s="43"/>
      <c r="BA154" s="45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65"/>
      <c r="BM154" s="43"/>
    </row>
    <row r="155" spans="2:65" customFormat="1" x14ac:dyDescent="0.2">
      <c r="B155" s="45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56"/>
      <c r="AJ155" s="68"/>
      <c r="AK155" s="56"/>
      <c r="AL155" s="68"/>
      <c r="AM155" s="56"/>
      <c r="AN155" s="68"/>
      <c r="AO155" s="56"/>
      <c r="AP155" s="68"/>
      <c r="AQ155" s="65"/>
      <c r="AR155" s="65"/>
      <c r="AS155" s="65"/>
      <c r="AT155" s="65"/>
      <c r="AU155" s="65"/>
      <c r="AV155" s="65"/>
      <c r="AW155" s="56"/>
      <c r="AX155" s="65"/>
      <c r="AY155" s="43"/>
      <c r="AZ155" s="43"/>
      <c r="BA155" s="45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65"/>
      <c r="BM155" s="43"/>
    </row>
    <row r="156" spans="2:65" customFormat="1" x14ac:dyDescent="0.2">
      <c r="B156" s="45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56"/>
      <c r="AJ156" s="68"/>
      <c r="AK156" s="56"/>
      <c r="AL156" s="68"/>
      <c r="AM156" s="56"/>
      <c r="AN156" s="68"/>
      <c r="AO156" s="56"/>
      <c r="AP156" s="68"/>
      <c r="AQ156" s="65"/>
      <c r="AR156" s="65"/>
      <c r="AS156" s="65"/>
      <c r="AT156" s="65"/>
      <c r="AU156" s="65"/>
      <c r="AV156" s="65"/>
      <c r="AW156" s="56"/>
      <c r="AX156" s="65"/>
      <c r="AY156" s="43"/>
      <c r="AZ156" s="43"/>
      <c r="BA156" s="45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65"/>
      <c r="BM156" s="43"/>
    </row>
    <row r="157" spans="2:65" customFormat="1" x14ac:dyDescent="0.2">
      <c r="B157" s="45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56"/>
      <c r="AJ157" s="68"/>
      <c r="AK157" s="56"/>
      <c r="AL157" s="68"/>
      <c r="AM157" s="56"/>
      <c r="AN157" s="68"/>
      <c r="AO157" s="56"/>
      <c r="AP157" s="68"/>
      <c r="AQ157" s="65"/>
      <c r="AR157" s="65"/>
      <c r="AS157" s="65"/>
      <c r="AT157" s="65"/>
      <c r="AU157" s="65"/>
      <c r="AV157" s="65"/>
      <c r="AW157" s="56"/>
      <c r="AX157" s="65"/>
      <c r="AY157" s="43"/>
      <c r="AZ157" s="43"/>
      <c r="BA157" s="45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65"/>
      <c r="BM157" s="43"/>
    </row>
    <row r="158" spans="2:65" customFormat="1" x14ac:dyDescent="0.2">
      <c r="B158" s="45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56"/>
      <c r="AJ158" s="68"/>
      <c r="AK158" s="56"/>
      <c r="AL158" s="68"/>
      <c r="AM158" s="56"/>
      <c r="AN158" s="68"/>
      <c r="AO158" s="56"/>
      <c r="AP158" s="68"/>
      <c r="AQ158" s="65"/>
      <c r="AR158" s="65"/>
      <c r="AS158" s="65"/>
      <c r="AT158" s="65"/>
      <c r="AU158" s="65"/>
      <c r="AV158" s="65"/>
      <c r="AW158" s="56"/>
      <c r="AX158" s="65"/>
      <c r="AY158" s="43"/>
      <c r="AZ158" s="43"/>
      <c r="BA158" s="45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65"/>
      <c r="BM158" s="43"/>
    </row>
    <row r="159" spans="2:65" customFormat="1" x14ac:dyDescent="0.2">
      <c r="B159" s="45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56"/>
      <c r="AJ159" s="68"/>
      <c r="AK159" s="56"/>
      <c r="AL159" s="68"/>
      <c r="AM159" s="56"/>
      <c r="AN159" s="68"/>
      <c r="AO159" s="56"/>
      <c r="AP159" s="68"/>
      <c r="AQ159" s="65"/>
      <c r="AR159" s="65"/>
      <c r="AS159" s="65"/>
      <c r="AT159" s="65"/>
      <c r="AU159" s="65"/>
      <c r="AV159" s="65"/>
      <c r="AW159" s="56"/>
      <c r="AX159" s="65"/>
      <c r="AY159" s="43"/>
      <c r="AZ159" s="43"/>
      <c r="BA159" s="45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65"/>
      <c r="BM159" s="43"/>
    </row>
    <row r="160" spans="2:65" customFormat="1" x14ac:dyDescent="0.2">
      <c r="B160" s="45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56"/>
      <c r="AJ160" s="68"/>
      <c r="AK160" s="56"/>
      <c r="AL160" s="68"/>
      <c r="AM160" s="56"/>
      <c r="AN160" s="68"/>
      <c r="AO160" s="56"/>
      <c r="AP160" s="68"/>
      <c r="AQ160" s="65"/>
      <c r="AR160" s="65"/>
      <c r="AS160" s="65"/>
      <c r="AT160" s="65"/>
      <c r="AU160" s="65"/>
      <c r="AV160" s="65"/>
      <c r="AW160" s="56"/>
      <c r="AX160" s="65"/>
      <c r="AY160" s="43"/>
      <c r="AZ160" s="43"/>
      <c r="BA160" s="45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65"/>
      <c r="BM160" s="43"/>
    </row>
    <row r="161" spans="2:65" customFormat="1" x14ac:dyDescent="0.2">
      <c r="B161" s="45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56"/>
      <c r="AJ161" s="68"/>
      <c r="AK161" s="56"/>
      <c r="AL161" s="68"/>
      <c r="AM161" s="56"/>
      <c r="AN161" s="68"/>
      <c r="AO161" s="56"/>
      <c r="AP161" s="68"/>
      <c r="AQ161" s="65"/>
      <c r="AR161" s="65"/>
      <c r="AS161" s="65"/>
      <c r="AT161" s="65"/>
      <c r="AU161" s="65"/>
      <c r="AV161" s="65"/>
      <c r="AW161" s="56"/>
      <c r="AX161" s="65"/>
      <c r="AY161" s="43"/>
      <c r="AZ161" s="43"/>
      <c r="BA161" s="45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65"/>
      <c r="BM161" s="43"/>
    </row>
    <row r="162" spans="2:65" customFormat="1" x14ac:dyDescent="0.2">
      <c r="B162" s="45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56"/>
      <c r="AJ162" s="68"/>
      <c r="AK162" s="56"/>
      <c r="AL162" s="68"/>
      <c r="AM162" s="56"/>
      <c r="AN162" s="68"/>
      <c r="AO162" s="56"/>
      <c r="AP162" s="68"/>
      <c r="AQ162" s="65"/>
      <c r="AR162" s="65"/>
      <c r="AS162" s="65"/>
      <c r="AT162" s="65"/>
      <c r="AU162" s="65"/>
      <c r="AV162" s="65"/>
      <c r="AW162" s="56"/>
      <c r="AX162" s="65"/>
      <c r="AY162" s="43"/>
      <c r="AZ162" s="43"/>
      <c r="BA162" s="45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65"/>
      <c r="BM162" s="43"/>
    </row>
    <row r="163" spans="2:65" customFormat="1" x14ac:dyDescent="0.2">
      <c r="B163" s="45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56"/>
      <c r="AJ163" s="68"/>
      <c r="AK163" s="56"/>
      <c r="AL163" s="68"/>
      <c r="AM163" s="56"/>
      <c r="AN163" s="68"/>
      <c r="AO163" s="56"/>
      <c r="AP163" s="68"/>
      <c r="AQ163" s="65"/>
      <c r="AR163" s="65"/>
      <c r="AS163" s="65"/>
      <c r="AT163" s="65"/>
      <c r="AU163" s="65"/>
      <c r="AV163" s="65"/>
      <c r="AW163" s="56"/>
      <c r="AX163" s="65"/>
      <c r="AY163" s="43"/>
      <c r="AZ163" s="43"/>
      <c r="BA163" s="45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65"/>
      <c r="BM163" s="43"/>
    </row>
    <row r="164" spans="2:65" customFormat="1" x14ac:dyDescent="0.2">
      <c r="B164" s="45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56"/>
      <c r="AJ164" s="68"/>
      <c r="AK164" s="56"/>
      <c r="AL164" s="68"/>
      <c r="AM164" s="56"/>
      <c r="AN164" s="68"/>
      <c r="AO164" s="56"/>
      <c r="AP164" s="68"/>
      <c r="AQ164" s="65"/>
      <c r="AR164" s="65"/>
      <c r="AS164" s="65"/>
      <c r="AT164" s="65"/>
      <c r="AU164" s="65"/>
      <c r="AV164" s="65"/>
      <c r="AW164" s="56"/>
      <c r="AX164" s="65"/>
      <c r="AY164" s="43"/>
      <c r="AZ164" s="43"/>
      <c r="BA164" s="45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65"/>
      <c r="BM164" s="43"/>
    </row>
    <row r="165" spans="2:65" customFormat="1" x14ac:dyDescent="0.2">
      <c r="B165" s="45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56"/>
      <c r="AJ165" s="68"/>
      <c r="AK165" s="56"/>
      <c r="AL165" s="68"/>
      <c r="AM165" s="56"/>
      <c r="AN165" s="68"/>
      <c r="AO165" s="56"/>
      <c r="AP165" s="68"/>
      <c r="AQ165" s="65"/>
      <c r="AR165" s="65"/>
      <c r="AS165" s="65"/>
      <c r="AT165" s="65"/>
      <c r="AU165" s="65"/>
      <c r="AV165" s="65"/>
      <c r="AW165" s="56"/>
      <c r="AX165" s="65"/>
      <c r="AY165" s="43"/>
      <c r="AZ165" s="43"/>
      <c r="BA165" s="45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65"/>
      <c r="BM165" s="43"/>
    </row>
    <row r="166" spans="2:65" customFormat="1" x14ac:dyDescent="0.2">
      <c r="B166" s="45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56"/>
      <c r="AJ166" s="68"/>
      <c r="AK166" s="56"/>
      <c r="AL166" s="68"/>
      <c r="AM166" s="56"/>
      <c r="AN166" s="68"/>
      <c r="AO166" s="56"/>
      <c r="AP166" s="68"/>
      <c r="AQ166" s="65"/>
      <c r="AR166" s="65"/>
      <c r="AS166" s="65"/>
      <c r="AT166" s="65"/>
      <c r="AU166" s="65"/>
      <c r="AV166" s="65"/>
      <c r="AW166" s="56"/>
      <c r="AX166" s="65"/>
      <c r="AY166" s="43"/>
      <c r="AZ166" s="43"/>
      <c r="BA166" s="45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65"/>
      <c r="BM166" s="43"/>
    </row>
    <row r="167" spans="2:65" customFormat="1" x14ac:dyDescent="0.2">
      <c r="B167" s="45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56"/>
      <c r="AJ167" s="68"/>
      <c r="AK167" s="56"/>
      <c r="AL167" s="68"/>
      <c r="AM167" s="56"/>
      <c r="AN167" s="68"/>
      <c r="AO167" s="56"/>
      <c r="AP167" s="68"/>
      <c r="AQ167" s="65"/>
      <c r="AR167" s="65"/>
      <c r="AS167" s="65"/>
      <c r="AT167" s="65"/>
      <c r="AU167" s="65"/>
      <c r="AV167" s="65"/>
      <c r="AW167" s="56"/>
      <c r="AX167" s="65"/>
      <c r="AY167" s="43"/>
      <c r="AZ167" s="43"/>
      <c r="BA167" s="45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65"/>
      <c r="BM167" s="43"/>
    </row>
    <row r="168" spans="2:65" customFormat="1" x14ac:dyDescent="0.2">
      <c r="B168" s="45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56"/>
      <c r="AJ168" s="68"/>
      <c r="AK168" s="56"/>
      <c r="AL168" s="68"/>
      <c r="AM168" s="56"/>
      <c r="AN168" s="68"/>
      <c r="AO168" s="56"/>
      <c r="AP168" s="68"/>
      <c r="AQ168" s="65"/>
      <c r="AR168" s="65"/>
      <c r="AS168" s="65"/>
      <c r="AT168" s="65"/>
      <c r="AU168" s="65"/>
      <c r="AV168" s="65"/>
      <c r="AW168" s="56"/>
      <c r="AX168" s="65"/>
      <c r="AY168" s="43"/>
      <c r="AZ168" s="43"/>
      <c r="BA168" s="45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65"/>
      <c r="BM168" s="43"/>
    </row>
    <row r="169" spans="2:65" customFormat="1" x14ac:dyDescent="0.2">
      <c r="B169" s="45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56"/>
      <c r="AJ169" s="68"/>
      <c r="AK169" s="56"/>
      <c r="AL169" s="68"/>
      <c r="AM169" s="56"/>
      <c r="AN169" s="68"/>
      <c r="AO169" s="56"/>
      <c r="AP169" s="68"/>
      <c r="AQ169" s="65"/>
      <c r="AR169" s="65"/>
      <c r="AS169" s="65"/>
      <c r="AT169" s="65"/>
      <c r="AU169" s="65"/>
      <c r="AV169" s="65"/>
      <c r="AW169" s="56"/>
      <c r="AX169" s="65"/>
      <c r="AY169" s="43"/>
      <c r="AZ169" s="43"/>
      <c r="BA169" s="45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65"/>
      <c r="BM169" s="43"/>
    </row>
    <row r="170" spans="2:65" customFormat="1" x14ac:dyDescent="0.2">
      <c r="B170" s="45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56"/>
      <c r="AJ170" s="68"/>
      <c r="AK170" s="56"/>
      <c r="AL170" s="68"/>
      <c r="AM170" s="56"/>
      <c r="AN170" s="68"/>
      <c r="AO170" s="56"/>
      <c r="AP170" s="68"/>
      <c r="AQ170" s="65"/>
      <c r="AR170" s="65"/>
      <c r="AS170" s="65"/>
      <c r="AT170" s="65"/>
      <c r="AU170" s="65"/>
      <c r="AV170" s="65"/>
      <c r="AW170" s="56"/>
      <c r="AX170" s="65"/>
      <c r="AY170" s="43"/>
      <c r="AZ170" s="43"/>
      <c r="BA170" s="45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65"/>
      <c r="BM170" s="43"/>
    </row>
    <row r="171" spans="2:65" customFormat="1" x14ac:dyDescent="0.2">
      <c r="B171" s="45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56"/>
      <c r="AJ171" s="68"/>
      <c r="AK171" s="56"/>
      <c r="AL171" s="68"/>
      <c r="AM171" s="56"/>
      <c r="AN171" s="68"/>
      <c r="AO171" s="56"/>
      <c r="AP171" s="68"/>
      <c r="AQ171" s="65"/>
      <c r="AR171" s="65"/>
      <c r="AS171" s="65"/>
      <c r="AT171" s="65"/>
      <c r="AU171" s="65"/>
      <c r="AV171" s="65"/>
      <c r="AW171" s="56"/>
      <c r="AX171" s="65"/>
      <c r="AY171" s="43"/>
      <c r="AZ171" s="43"/>
      <c r="BA171" s="45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65"/>
      <c r="BM171" s="43"/>
    </row>
    <row r="172" spans="2:65" customFormat="1" x14ac:dyDescent="0.2">
      <c r="B172" s="45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56"/>
      <c r="AJ172" s="68"/>
      <c r="AK172" s="56"/>
      <c r="AL172" s="68"/>
      <c r="AM172" s="56"/>
      <c r="AN172" s="68"/>
      <c r="AO172" s="56"/>
      <c r="AP172" s="68"/>
      <c r="AQ172" s="65"/>
      <c r="AR172" s="65"/>
      <c r="AS172" s="65"/>
      <c r="AT172" s="65"/>
      <c r="AU172" s="65"/>
      <c r="AV172" s="65"/>
      <c r="AW172" s="56"/>
      <c r="AX172" s="65"/>
      <c r="AY172" s="43"/>
      <c r="AZ172" s="43"/>
      <c r="BA172" s="45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65"/>
      <c r="BM172" s="43"/>
    </row>
    <row r="173" spans="2:65" customFormat="1" x14ac:dyDescent="0.2">
      <c r="B173" s="45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56"/>
      <c r="AJ173" s="68"/>
      <c r="AK173" s="56"/>
      <c r="AL173" s="68"/>
      <c r="AM173" s="56"/>
      <c r="AN173" s="68"/>
      <c r="AO173" s="56"/>
      <c r="AP173" s="68"/>
      <c r="AQ173" s="65"/>
      <c r="AR173" s="65"/>
      <c r="AS173" s="65"/>
      <c r="AT173" s="65"/>
      <c r="AU173" s="65"/>
      <c r="AV173" s="65"/>
      <c r="AW173" s="56"/>
      <c r="AX173" s="65"/>
      <c r="AY173" s="43"/>
      <c r="AZ173" s="43"/>
      <c r="BA173" s="45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65"/>
      <c r="BM173" s="43"/>
    </row>
    <row r="174" spans="2:65" customFormat="1" x14ac:dyDescent="0.2">
      <c r="B174" s="45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56"/>
      <c r="AJ174" s="68"/>
      <c r="AK174" s="56"/>
      <c r="AL174" s="68"/>
      <c r="AM174" s="56"/>
      <c r="AN174" s="68"/>
      <c r="AO174" s="56"/>
      <c r="AP174" s="68"/>
      <c r="AQ174" s="65"/>
      <c r="AR174" s="65"/>
      <c r="AS174" s="65"/>
      <c r="AT174" s="65"/>
      <c r="AU174" s="65"/>
      <c r="AV174" s="65"/>
      <c r="AW174" s="56"/>
      <c r="AX174" s="65"/>
      <c r="AY174" s="43"/>
      <c r="AZ174" s="43"/>
      <c r="BA174" s="45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65"/>
      <c r="BM174" s="43"/>
    </row>
    <row r="175" spans="2:65" customFormat="1" x14ac:dyDescent="0.2">
      <c r="B175" s="45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56"/>
      <c r="AJ175" s="68"/>
      <c r="AK175" s="56"/>
      <c r="AL175" s="68"/>
      <c r="AM175" s="56"/>
      <c r="AN175" s="68"/>
      <c r="AO175" s="56"/>
      <c r="AP175" s="68"/>
      <c r="AQ175" s="65"/>
      <c r="AR175" s="65"/>
      <c r="AS175" s="65"/>
      <c r="AT175" s="65"/>
      <c r="AU175" s="65"/>
      <c r="AV175" s="65"/>
      <c r="AW175" s="56"/>
      <c r="AX175" s="65"/>
      <c r="AY175" s="43"/>
      <c r="AZ175" s="43"/>
      <c r="BA175" s="45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65"/>
      <c r="BM175" s="43"/>
    </row>
    <row r="176" spans="2:65" customFormat="1" x14ac:dyDescent="0.2">
      <c r="B176" s="45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56"/>
      <c r="AJ176" s="68"/>
      <c r="AK176" s="56"/>
      <c r="AL176" s="68"/>
      <c r="AM176" s="56"/>
      <c r="AN176" s="68"/>
      <c r="AO176" s="56"/>
      <c r="AP176" s="68"/>
      <c r="AQ176" s="65"/>
      <c r="AR176" s="65"/>
      <c r="AS176" s="65"/>
      <c r="AT176" s="65"/>
      <c r="AU176" s="65"/>
      <c r="AV176" s="65"/>
      <c r="AW176" s="56"/>
      <c r="AX176" s="65"/>
      <c r="AY176" s="43"/>
      <c r="AZ176" s="43"/>
      <c r="BA176" s="45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65"/>
      <c r="BM176" s="43"/>
    </row>
  </sheetData>
  <mergeCells count="50">
    <mergeCell ref="H99:I99"/>
    <mergeCell ref="H100:I100"/>
    <mergeCell ref="H93:I93"/>
    <mergeCell ref="H94:I94"/>
    <mergeCell ref="H95:I95"/>
    <mergeCell ref="H96:I96"/>
    <mergeCell ref="H97:I97"/>
    <mergeCell ref="H98:I98"/>
    <mergeCell ref="H92:I92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80:I80"/>
    <mergeCell ref="H68:I68"/>
    <mergeCell ref="H69:I69"/>
    <mergeCell ref="H70:I70"/>
    <mergeCell ref="H71:I71"/>
    <mergeCell ref="H72:I72"/>
    <mergeCell ref="H73:I73"/>
    <mergeCell ref="H74:I74"/>
    <mergeCell ref="H75:I75"/>
    <mergeCell ref="D77:M77"/>
    <mergeCell ref="H78:I78"/>
    <mergeCell ref="H79:I79"/>
    <mergeCell ref="H67:I67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55:I55"/>
    <mergeCell ref="D26:I26"/>
    <mergeCell ref="J26:N26"/>
    <mergeCell ref="H52:I52"/>
    <mergeCell ref="H53:I53"/>
    <mergeCell ref="H54:I54"/>
  </mergeCells>
  <pageMargins left="0.7" right="0.7" top="0.75" bottom="0.75" header="0.3" footer="0.3"/>
  <pageSetup scale="4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0"/>
  <sheetViews>
    <sheetView zoomScale="120" zoomScaleNormal="120" workbookViewId="0">
      <selection activeCell="Z42" sqref="Z42"/>
    </sheetView>
  </sheetViews>
  <sheetFormatPr defaultRowHeight="12.75" x14ac:dyDescent="0.2"/>
  <cols>
    <col min="1" max="1" width="13.85546875" bestFit="1" customWidth="1"/>
    <col min="2" max="2" width="17.7109375" customWidth="1"/>
    <col min="3" max="3" width="17.28515625" customWidth="1"/>
    <col min="4" max="4" width="15.7109375" customWidth="1"/>
    <col min="5" max="5" width="16.28515625" customWidth="1"/>
    <col min="6" max="6" width="20.140625" customWidth="1"/>
    <col min="7" max="7" width="21" customWidth="1"/>
    <col min="8" max="8" width="20.140625" customWidth="1"/>
    <col min="10" max="10" width="16.85546875" customWidth="1"/>
    <col min="11" max="11" width="20.140625" customWidth="1"/>
    <col min="12" max="12" width="16.85546875" customWidth="1"/>
    <col min="13" max="13" width="16" customWidth="1"/>
    <col min="14" max="15" width="19.140625" customWidth="1"/>
    <col min="16" max="16" width="4.7109375" customWidth="1"/>
    <col min="17" max="17" width="9.28515625" customWidth="1"/>
    <col min="18" max="18" width="15.5703125" customWidth="1"/>
    <col min="19" max="19" width="13.140625" customWidth="1"/>
    <col min="20" max="21" width="13.42578125" customWidth="1"/>
    <col min="22" max="22" width="12.42578125" customWidth="1"/>
    <col min="23" max="23" width="14.140625" customWidth="1"/>
  </cols>
  <sheetData>
    <row r="2" spans="1:27" ht="15" x14ac:dyDescent="0.25">
      <c r="Q2" s="84" t="s">
        <v>101</v>
      </c>
      <c r="R2" s="83"/>
      <c r="S2" s="83"/>
      <c r="T2" s="83"/>
      <c r="U2" s="83"/>
      <c r="W2" s="84" t="s">
        <v>101</v>
      </c>
      <c r="X2" s="83"/>
      <c r="Y2" s="83"/>
      <c r="Z2" s="83"/>
      <c r="AA2" s="83"/>
    </row>
    <row r="3" spans="1:27" x14ac:dyDescent="0.2">
      <c r="A3" s="72" t="s">
        <v>91</v>
      </c>
      <c r="B3" t="s">
        <v>94</v>
      </c>
      <c r="C3" t="s">
        <v>95</v>
      </c>
      <c r="D3" t="s">
        <v>96</v>
      </c>
      <c r="E3" t="s">
        <v>97</v>
      </c>
      <c r="F3" t="s">
        <v>98</v>
      </c>
      <c r="I3" s="75" t="s">
        <v>91</v>
      </c>
      <c r="J3" s="75" t="s">
        <v>94</v>
      </c>
      <c r="K3" s="75" t="s">
        <v>95</v>
      </c>
      <c r="L3" s="75" t="s">
        <v>96</v>
      </c>
      <c r="M3" s="75" t="s">
        <v>97</v>
      </c>
      <c r="N3" s="75" t="s">
        <v>98</v>
      </c>
      <c r="O3" s="81"/>
      <c r="P3" s="81"/>
      <c r="Q3" s="81" t="s">
        <v>99</v>
      </c>
      <c r="R3" s="81" t="s">
        <v>100</v>
      </c>
      <c r="S3" s="81" t="s">
        <v>102</v>
      </c>
      <c r="T3" s="81" t="s">
        <v>103</v>
      </c>
      <c r="U3" s="81" t="s">
        <v>104</v>
      </c>
      <c r="W3" s="81" t="s">
        <v>99</v>
      </c>
      <c r="X3" s="81" t="s">
        <v>100</v>
      </c>
      <c r="Y3" s="81" t="s">
        <v>102</v>
      </c>
      <c r="Z3" s="81" t="s">
        <v>103</v>
      </c>
      <c r="AA3" s="81" t="s">
        <v>104</v>
      </c>
    </row>
    <row r="4" spans="1:27" x14ac:dyDescent="0.2">
      <c r="A4" s="73" t="s">
        <v>32</v>
      </c>
      <c r="B4" s="74">
        <v>34665600</v>
      </c>
      <c r="C4" s="74">
        <v>1444810</v>
      </c>
      <c r="D4" s="74">
        <v>47971</v>
      </c>
      <c r="E4" s="74">
        <v>996969</v>
      </c>
      <c r="F4" s="74">
        <v>22026</v>
      </c>
      <c r="G4" s="74"/>
      <c r="H4" s="74"/>
      <c r="I4" s="76" t="s">
        <v>32</v>
      </c>
      <c r="J4" s="77">
        <v>34665600</v>
      </c>
      <c r="K4" s="77">
        <v>1444810</v>
      </c>
      <c r="L4" s="77">
        <v>47971</v>
      </c>
      <c r="M4" s="77">
        <v>996969</v>
      </c>
      <c r="N4" s="77">
        <v>22026</v>
      </c>
      <c r="O4" s="77"/>
      <c r="P4" s="77"/>
      <c r="Q4" s="74">
        <f>J4*3412/1000000</f>
        <v>118279.0272</v>
      </c>
      <c r="R4" s="74">
        <f>K4*100000/1000000</f>
        <v>144481</v>
      </c>
      <c r="S4" s="74">
        <f>L4*138690/1000000</f>
        <v>6653.0979900000002</v>
      </c>
      <c r="T4" s="74">
        <f>M4*149690/1000000</f>
        <v>149236.28961000001</v>
      </c>
      <c r="U4" s="74">
        <f>N4*91647.6/1000000</f>
        <v>2018.6300376000002</v>
      </c>
      <c r="W4" s="74">
        <v>148503.212424</v>
      </c>
      <c r="X4" s="74">
        <v>167802.7</v>
      </c>
      <c r="Y4" s="74">
        <v>3306.5082900000002</v>
      </c>
      <c r="Z4" s="74">
        <v>299.38</v>
      </c>
      <c r="AA4" s="74">
        <v>334.60538760000003</v>
      </c>
    </row>
    <row r="5" spans="1:27" x14ac:dyDescent="0.2">
      <c r="A5" s="73" t="s">
        <v>34</v>
      </c>
      <c r="B5" s="74">
        <v>37039200</v>
      </c>
      <c r="C5" s="74">
        <v>1606150</v>
      </c>
      <c r="D5" s="74">
        <v>45498</v>
      </c>
      <c r="E5" s="74">
        <v>171870</v>
      </c>
      <c r="F5" s="74">
        <v>28620</v>
      </c>
      <c r="G5" s="74"/>
      <c r="H5" s="74"/>
      <c r="I5" s="76" t="s">
        <v>34</v>
      </c>
      <c r="J5" s="77">
        <v>37039200</v>
      </c>
      <c r="K5" s="77">
        <v>1606150</v>
      </c>
      <c r="L5" s="77">
        <v>45498</v>
      </c>
      <c r="M5" s="77">
        <v>171870</v>
      </c>
      <c r="N5" s="77">
        <v>28620</v>
      </c>
      <c r="O5" s="77"/>
      <c r="P5" s="77"/>
      <c r="Q5" s="74">
        <f t="shared" ref="Q5:Q27" si="0">J5*3412/1000000</f>
        <v>126377.7504</v>
      </c>
      <c r="R5" s="74">
        <f t="shared" ref="R5:R27" si="1">K5*100000/1000000</f>
        <v>160615</v>
      </c>
      <c r="S5" s="74">
        <f t="shared" ref="S5:S27" si="2">L5*138690/1000000</f>
        <v>6310.11762</v>
      </c>
      <c r="T5" s="74">
        <f t="shared" ref="T5:T27" si="3">M5*149690/1000000</f>
        <v>25727.220300000001</v>
      </c>
      <c r="U5" s="74">
        <f t="shared" ref="U5:U27" si="4">N5*91647.6/1000000</f>
        <v>2622.9543119999998</v>
      </c>
    </row>
    <row r="6" spans="1:27" x14ac:dyDescent="0.2">
      <c r="A6" s="73" t="s">
        <v>35</v>
      </c>
      <c r="B6" s="74">
        <v>41841570</v>
      </c>
      <c r="C6" s="74">
        <v>1444806</v>
      </c>
      <c r="D6" s="74">
        <v>55712</v>
      </c>
      <c r="E6" s="74">
        <v>389041</v>
      </c>
      <c r="F6" s="74">
        <v>21798</v>
      </c>
      <c r="G6" s="74"/>
      <c r="H6" s="74"/>
      <c r="I6" s="76" t="s">
        <v>35</v>
      </c>
      <c r="J6" s="77">
        <v>41841570</v>
      </c>
      <c r="K6" s="77">
        <v>1444806</v>
      </c>
      <c r="L6" s="77">
        <v>55712</v>
      </c>
      <c r="M6" s="77">
        <v>389041</v>
      </c>
      <c r="N6" s="77">
        <v>21798</v>
      </c>
      <c r="O6" s="77"/>
      <c r="P6" s="77"/>
      <c r="Q6" s="74">
        <f t="shared" si="0"/>
        <v>142763.43684000001</v>
      </c>
      <c r="R6" s="74">
        <f t="shared" si="1"/>
        <v>144480.6</v>
      </c>
      <c r="S6" s="74">
        <f t="shared" si="2"/>
        <v>7726.6972800000003</v>
      </c>
      <c r="T6" s="74">
        <f t="shared" si="3"/>
        <v>58235.547290000002</v>
      </c>
      <c r="U6" s="74">
        <f t="shared" si="4"/>
        <v>1997.7343848000003</v>
      </c>
    </row>
    <row r="7" spans="1:27" x14ac:dyDescent="0.2">
      <c r="A7" s="73" t="s">
        <v>37</v>
      </c>
      <c r="B7" s="74">
        <v>42259200</v>
      </c>
      <c r="C7" s="74">
        <v>1764777</v>
      </c>
      <c r="D7" s="74">
        <v>32634</v>
      </c>
      <c r="E7" s="74">
        <v>146809</v>
      </c>
      <c r="F7" s="74">
        <v>28146</v>
      </c>
      <c r="G7" s="74"/>
      <c r="H7" s="74"/>
      <c r="I7" s="76" t="s">
        <v>37</v>
      </c>
      <c r="J7" s="77">
        <v>42259200</v>
      </c>
      <c r="K7" s="77">
        <v>1764777</v>
      </c>
      <c r="L7" s="77">
        <v>32634</v>
      </c>
      <c r="M7" s="77">
        <v>146809</v>
      </c>
      <c r="N7" s="77">
        <v>28146</v>
      </c>
      <c r="O7" s="77"/>
      <c r="P7" s="77"/>
      <c r="Q7" s="74">
        <f t="shared" si="0"/>
        <v>144188.3904</v>
      </c>
      <c r="R7" s="74">
        <f t="shared" si="1"/>
        <v>176477.7</v>
      </c>
      <c r="S7" s="74">
        <f t="shared" si="2"/>
        <v>4526.0094600000002</v>
      </c>
      <c r="T7" s="74">
        <f t="shared" si="3"/>
        <v>21975.839209999998</v>
      </c>
      <c r="U7" s="74">
        <f t="shared" si="4"/>
        <v>2579.5133496000003</v>
      </c>
    </row>
    <row r="8" spans="1:27" x14ac:dyDescent="0.2">
      <c r="A8" s="73" t="s">
        <v>38</v>
      </c>
      <c r="B8" s="74">
        <v>41697600</v>
      </c>
      <c r="C8" s="74">
        <v>2043922</v>
      </c>
      <c r="D8" s="74">
        <v>27912.099999999991</v>
      </c>
      <c r="E8" s="74">
        <v>3539</v>
      </c>
      <c r="F8" s="74">
        <v>23853.960000000003</v>
      </c>
      <c r="G8" s="74"/>
      <c r="H8" s="74"/>
      <c r="I8" s="76" t="s">
        <v>38</v>
      </c>
      <c r="J8" s="77">
        <v>41697600</v>
      </c>
      <c r="K8" s="77">
        <v>2043922</v>
      </c>
      <c r="L8" s="77">
        <v>27912.099999999991</v>
      </c>
      <c r="M8" s="77">
        <v>3539</v>
      </c>
      <c r="N8" s="77">
        <v>23853.960000000003</v>
      </c>
      <c r="O8" s="77"/>
      <c r="P8" s="77"/>
      <c r="Q8" s="74">
        <f t="shared" si="0"/>
        <v>142272.21119999999</v>
      </c>
      <c r="R8" s="74">
        <f t="shared" si="1"/>
        <v>204392.2</v>
      </c>
      <c r="S8" s="74">
        <f t="shared" si="2"/>
        <v>3871.1291489999985</v>
      </c>
      <c r="T8" s="74">
        <f t="shared" si="3"/>
        <v>529.75291000000004</v>
      </c>
      <c r="U8" s="74">
        <f t="shared" si="4"/>
        <v>2186.1581844960001</v>
      </c>
    </row>
    <row r="9" spans="1:27" x14ac:dyDescent="0.2">
      <c r="A9" s="73" t="s">
        <v>36</v>
      </c>
      <c r="B9" s="74">
        <v>43963200</v>
      </c>
      <c r="C9" s="74">
        <v>448967</v>
      </c>
      <c r="D9" s="74">
        <v>33921</v>
      </c>
      <c r="E9" s="74">
        <v>770367</v>
      </c>
      <c r="F9" s="74">
        <v>25237</v>
      </c>
      <c r="G9" s="74"/>
      <c r="H9" s="74"/>
      <c r="I9" s="76" t="s">
        <v>36</v>
      </c>
      <c r="J9" s="77">
        <v>43963200</v>
      </c>
      <c r="K9" s="77">
        <v>448967</v>
      </c>
      <c r="L9" s="77">
        <v>33921</v>
      </c>
      <c r="M9" s="77">
        <v>770367</v>
      </c>
      <c r="N9" s="77">
        <v>25237</v>
      </c>
      <c r="O9" s="77"/>
      <c r="P9" s="77"/>
      <c r="Q9" s="74">
        <f t="shared" si="0"/>
        <v>150002.43840000001</v>
      </c>
      <c r="R9" s="74">
        <f t="shared" si="1"/>
        <v>44896.7</v>
      </c>
      <c r="S9" s="74">
        <f t="shared" si="2"/>
        <v>4704.5034900000001</v>
      </c>
      <c r="T9" s="74">
        <f t="shared" si="3"/>
        <v>115316.23622999999</v>
      </c>
      <c r="U9" s="74">
        <f t="shared" si="4"/>
        <v>2312.9104812000005</v>
      </c>
    </row>
    <row r="10" spans="1:27" x14ac:dyDescent="0.2">
      <c r="A10" s="73" t="s">
        <v>39</v>
      </c>
      <c r="B10" s="74">
        <v>42627429</v>
      </c>
      <c r="C10" s="74">
        <v>2028260</v>
      </c>
      <c r="D10" s="74">
        <v>36156.199999999997</v>
      </c>
      <c r="E10" s="74">
        <v>29425</v>
      </c>
      <c r="F10" s="74">
        <v>87.7</v>
      </c>
      <c r="G10" s="74"/>
      <c r="H10" s="74"/>
      <c r="I10" s="76" t="s">
        <v>39</v>
      </c>
      <c r="J10" s="77">
        <v>42627429</v>
      </c>
      <c r="K10" s="77">
        <v>2028260</v>
      </c>
      <c r="L10" s="77">
        <v>36156.199999999997</v>
      </c>
      <c r="M10" s="77">
        <v>29425</v>
      </c>
      <c r="N10" s="77">
        <v>87.7</v>
      </c>
      <c r="O10" s="77"/>
      <c r="P10" s="77"/>
      <c r="Q10" s="74">
        <f t="shared" si="0"/>
        <v>145444.787748</v>
      </c>
      <c r="R10" s="74">
        <f t="shared" si="1"/>
        <v>202826</v>
      </c>
      <c r="S10" s="74">
        <f t="shared" si="2"/>
        <v>5014.5033780000003</v>
      </c>
      <c r="T10" s="74">
        <f t="shared" si="3"/>
        <v>4404.6282499999998</v>
      </c>
      <c r="U10" s="74">
        <f t="shared" si="4"/>
        <v>8.037494520000001</v>
      </c>
    </row>
    <row r="11" spans="1:27" x14ac:dyDescent="0.2">
      <c r="A11" s="73" t="s">
        <v>40</v>
      </c>
      <c r="B11" s="74">
        <v>44678400</v>
      </c>
      <c r="C11" s="74">
        <v>1715385</v>
      </c>
      <c r="D11" s="74">
        <v>26259.5</v>
      </c>
      <c r="E11" s="74">
        <v>7500</v>
      </c>
      <c r="F11" s="74">
        <v>30095.5</v>
      </c>
      <c r="G11" s="74"/>
      <c r="H11" s="74"/>
      <c r="I11" s="76" t="s">
        <v>40</v>
      </c>
      <c r="J11" s="77">
        <v>44678400</v>
      </c>
      <c r="K11" s="77">
        <v>1715385</v>
      </c>
      <c r="L11" s="77">
        <v>26259.5</v>
      </c>
      <c r="M11" s="77">
        <v>7500</v>
      </c>
      <c r="N11" s="77">
        <v>30095.5</v>
      </c>
      <c r="O11" s="77"/>
      <c r="P11" s="77"/>
      <c r="Q11" s="74">
        <f t="shared" si="0"/>
        <v>152442.70079999999</v>
      </c>
      <c r="R11" s="74">
        <f t="shared" si="1"/>
        <v>171538.5</v>
      </c>
      <c r="S11" s="74">
        <f t="shared" si="2"/>
        <v>3641.9300549999998</v>
      </c>
      <c r="T11" s="74">
        <f t="shared" si="3"/>
        <v>1122.675</v>
      </c>
      <c r="U11" s="74">
        <f t="shared" si="4"/>
        <v>2758.1803458000004</v>
      </c>
    </row>
    <row r="12" spans="1:27" x14ac:dyDescent="0.2">
      <c r="A12" s="73" t="s">
        <v>41</v>
      </c>
      <c r="B12" s="74">
        <v>44860800</v>
      </c>
      <c r="C12" s="74">
        <v>1922925</v>
      </c>
      <c r="D12" s="74">
        <v>45110</v>
      </c>
      <c r="E12" s="74">
        <v>3000</v>
      </c>
      <c r="F12" s="74">
        <v>26455</v>
      </c>
      <c r="G12" s="74"/>
      <c r="H12" s="74"/>
      <c r="I12" s="76" t="s">
        <v>41</v>
      </c>
      <c r="J12" s="77">
        <v>44860800</v>
      </c>
      <c r="K12" s="77">
        <v>1922925</v>
      </c>
      <c r="L12" s="77">
        <v>45110</v>
      </c>
      <c r="M12" s="77">
        <v>3000</v>
      </c>
      <c r="N12" s="77">
        <v>26455</v>
      </c>
      <c r="O12" s="77"/>
      <c r="P12" s="77"/>
      <c r="Q12" s="74">
        <f t="shared" si="0"/>
        <v>153065.0496</v>
      </c>
      <c r="R12" s="74">
        <f t="shared" si="1"/>
        <v>192292.5</v>
      </c>
      <c r="S12" s="74">
        <f t="shared" si="2"/>
        <v>6256.3059000000003</v>
      </c>
      <c r="T12" s="74">
        <f t="shared" si="3"/>
        <v>449.07</v>
      </c>
      <c r="U12" s="74">
        <f t="shared" si="4"/>
        <v>2424.5372579999998</v>
      </c>
    </row>
    <row r="13" spans="1:27" x14ac:dyDescent="0.2">
      <c r="A13" s="73" t="s">
        <v>42</v>
      </c>
      <c r="B13" s="74">
        <v>45643200</v>
      </c>
      <c r="C13" s="74">
        <v>1802724</v>
      </c>
      <c r="D13" s="74">
        <v>39508.699999999997</v>
      </c>
      <c r="E13" s="74">
        <v>0</v>
      </c>
      <c r="F13" s="74">
        <v>24712.6</v>
      </c>
      <c r="G13" s="74"/>
      <c r="H13" s="74"/>
      <c r="I13" s="76" t="s">
        <v>42</v>
      </c>
      <c r="J13" s="77">
        <v>45643200</v>
      </c>
      <c r="K13" s="77">
        <v>1802724</v>
      </c>
      <c r="L13" s="77">
        <v>39508.699999999997</v>
      </c>
      <c r="M13" s="77">
        <v>0</v>
      </c>
      <c r="N13" s="77">
        <v>24712.6</v>
      </c>
      <c r="O13" s="77"/>
      <c r="P13" s="77"/>
      <c r="Q13" s="74">
        <f t="shared" si="0"/>
        <v>155734.59839999999</v>
      </c>
      <c r="R13" s="74">
        <f t="shared" si="1"/>
        <v>180272.4</v>
      </c>
      <c r="S13" s="74">
        <f t="shared" si="2"/>
        <v>5479.4616029999997</v>
      </c>
      <c r="T13" s="74">
        <f t="shared" si="3"/>
        <v>0</v>
      </c>
      <c r="U13" s="74">
        <f t="shared" si="4"/>
        <v>2264.8504797600003</v>
      </c>
    </row>
    <row r="14" spans="1:27" x14ac:dyDescent="0.2">
      <c r="A14" s="73" t="s">
        <v>43</v>
      </c>
      <c r="B14" s="74">
        <v>47401358</v>
      </c>
      <c r="C14" s="74">
        <v>1944331</v>
      </c>
      <c r="D14" s="74">
        <v>23359.3</v>
      </c>
      <c r="E14" s="74">
        <v>1000</v>
      </c>
      <c r="F14" s="74">
        <v>28160.5</v>
      </c>
      <c r="G14" s="74"/>
      <c r="H14" s="74"/>
      <c r="I14" s="76" t="s">
        <v>43</v>
      </c>
      <c r="J14" s="77">
        <v>47401358</v>
      </c>
      <c r="K14" s="77">
        <v>1944331</v>
      </c>
      <c r="L14" s="77">
        <v>23359.3</v>
      </c>
      <c r="M14" s="77">
        <v>1000</v>
      </c>
      <c r="N14" s="77">
        <v>28160.5</v>
      </c>
      <c r="O14" s="77"/>
      <c r="P14" s="77"/>
      <c r="Q14" s="74">
        <f t="shared" si="0"/>
        <v>161733.43349600001</v>
      </c>
      <c r="R14" s="74">
        <f t="shared" si="1"/>
        <v>194433.1</v>
      </c>
      <c r="S14" s="74">
        <f t="shared" si="2"/>
        <v>3239.701317</v>
      </c>
      <c r="T14" s="74">
        <f t="shared" si="3"/>
        <v>149.69</v>
      </c>
      <c r="U14" s="74">
        <f t="shared" si="4"/>
        <v>2580.8422398000002</v>
      </c>
    </row>
    <row r="15" spans="1:27" x14ac:dyDescent="0.2">
      <c r="A15" s="73" t="s">
        <v>44</v>
      </c>
      <c r="B15" s="74">
        <v>47990400</v>
      </c>
      <c r="C15" s="74">
        <v>1860120</v>
      </c>
      <c r="D15" s="74">
        <v>19742.2</v>
      </c>
      <c r="E15" s="74">
        <v>98018</v>
      </c>
      <c r="F15" s="74">
        <v>30668.2</v>
      </c>
      <c r="G15" s="74"/>
      <c r="H15" s="74"/>
      <c r="I15" s="76" t="s">
        <v>44</v>
      </c>
      <c r="J15" s="77">
        <v>47990400</v>
      </c>
      <c r="K15" s="77">
        <v>1860120</v>
      </c>
      <c r="L15" s="77">
        <v>19742.2</v>
      </c>
      <c r="M15" s="77">
        <v>98018</v>
      </c>
      <c r="N15" s="77">
        <v>30668.2</v>
      </c>
      <c r="O15" s="77"/>
      <c r="P15" s="77"/>
      <c r="Q15" s="74">
        <f t="shared" si="0"/>
        <v>163743.24479999999</v>
      </c>
      <c r="R15" s="74">
        <f t="shared" si="1"/>
        <v>186012</v>
      </c>
      <c r="S15" s="74">
        <f t="shared" si="2"/>
        <v>2738.0457179999999</v>
      </c>
      <c r="T15" s="74">
        <f t="shared" si="3"/>
        <v>14672.314420000001</v>
      </c>
      <c r="U15" s="74">
        <f t="shared" si="4"/>
        <v>2810.6669263200001</v>
      </c>
    </row>
    <row r="16" spans="1:27" x14ac:dyDescent="0.2">
      <c r="A16" s="73" t="s">
        <v>45</v>
      </c>
      <c r="B16" s="74">
        <v>47137200</v>
      </c>
      <c r="C16" s="74">
        <v>1947381</v>
      </c>
      <c r="D16" s="74">
        <v>22408</v>
      </c>
      <c r="E16" s="74">
        <v>40000</v>
      </c>
      <c r="F16" s="74">
        <v>21226.9</v>
      </c>
      <c r="G16" s="74"/>
      <c r="H16" s="74"/>
      <c r="I16" s="76" t="s">
        <v>45</v>
      </c>
      <c r="J16" s="77">
        <v>47137200</v>
      </c>
      <c r="K16" s="77">
        <v>1947381</v>
      </c>
      <c r="L16" s="77">
        <v>22408</v>
      </c>
      <c r="M16" s="77">
        <v>40000</v>
      </c>
      <c r="N16" s="77">
        <v>21226.9</v>
      </c>
      <c r="O16" s="77"/>
      <c r="P16" s="77"/>
      <c r="Q16" s="74">
        <f t="shared" si="0"/>
        <v>160832.12640000001</v>
      </c>
      <c r="R16" s="74">
        <f t="shared" si="1"/>
        <v>194738.1</v>
      </c>
      <c r="S16" s="74">
        <f t="shared" si="2"/>
        <v>3107.7655199999999</v>
      </c>
      <c r="T16" s="74">
        <f t="shared" si="3"/>
        <v>5987.6</v>
      </c>
      <c r="U16" s="74">
        <f t="shared" si="4"/>
        <v>1945.3944404400004</v>
      </c>
    </row>
    <row r="17" spans="1:21" x14ac:dyDescent="0.2">
      <c r="A17" s="73" t="s">
        <v>46</v>
      </c>
      <c r="B17" s="74">
        <v>43591985</v>
      </c>
      <c r="C17" s="74">
        <v>1691124</v>
      </c>
      <c r="D17" s="74">
        <v>21043</v>
      </c>
      <c r="E17" s="74">
        <v>2000</v>
      </c>
      <c r="F17" s="74">
        <v>24947</v>
      </c>
      <c r="G17" s="74"/>
      <c r="H17" s="74"/>
      <c r="I17" s="76" t="s">
        <v>46</v>
      </c>
      <c r="J17" s="77">
        <v>43591985</v>
      </c>
      <c r="K17" s="77">
        <v>1691124</v>
      </c>
      <c r="L17" s="77">
        <v>21043</v>
      </c>
      <c r="M17" s="77">
        <v>2000</v>
      </c>
      <c r="N17" s="77">
        <v>24947</v>
      </c>
      <c r="O17" s="77"/>
      <c r="P17" s="77"/>
      <c r="Q17" s="74">
        <f t="shared" si="0"/>
        <v>148735.85282</v>
      </c>
      <c r="R17" s="74">
        <f t="shared" si="1"/>
        <v>169112.4</v>
      </c>
      <c r="S17" s="74">
        <f t="shared" si="2"/>
        <v>2918.4536699999999</v>
      </c>
      <c r="T17" s="74">
        <f t="shared" si="3"/>
        <v>299.38</v>
      </c>
      <c r="U17" s="74">
        <f t="shared" si="4"/>
        <v>2286.3326772000005</v>
      </c>
    </row>
    <row r="18" spans="1:21" x14ac:dyDescent="0.2">
      <c r="A18" s="73" t="s">
        <v>80</v>
      </c>
      <c r="B18" s="74">
        <v>43523802</v>
      </c>
      <c r="C18" s="74">
        <v>1678027</v>
      </c>
      <c r="D18" s="74">
        <v>23841</v>
      </c>
      <c r="E18" s="74">
        <v>2000</v>
      </c>
      <c r="F18" s="74">
        <v>3651</v>
      </c>
      <c r="G18" s="74"/>
      <c r="H18" s="74"/>
      <c r="I18" s="76" t="s">
        <v>80</v>
      </c>
      <c r="J18" s="77">
        <v>43523802</v>
      </c>
      <c r="K18" s="77">
        <v>1678027</v>
      </c>
      <c r="L18" s="77">
        <v>23841</v>
      </c>
      <c r="M18" s="77">
        <v>2000</v>
      </c>
      <c r="N18" s="77">
        <v>3651</v>
      </c>
      <c r="O18" s="77"/>
      <c r="P18" s="77"/>
      <c r="Q18" s="74">
        <f t="shared" si="0"/>
        <v>148503.212424</v>
      </c>
      <c r="R18" s="74">
        <f t="shared" si="1"/>
        <v>167802.7</v>
      </c>
      <c r="S18" s="74">
        <f t="shared" si="2"/>
        <v>3306.5082900000002</v>
      </c>
      <c r="T18" s="74">
        <f t="shared" si="3"/>
        <v>299.38</v>
      </c>
      <c r="U18" s="74">
        <f t="shared" si="4"/>
        <v>334.60538760000003</v>
      </c>
    </row>
    <row r="19" spans="1:21" x14ac:dyDescent="0.2">
      <c r="A19" s="73" t="s">
        <v>48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/>
      <c r="H19" s="74"/>
      <c r="I19" s="76" t="s">
        <v>48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/>
      <c r="P19" s="77"/>
      <c r="Q19" s="74">
        <f t="shared" si="0"/>
        <v>0</v>
      </c>
      <c r="R19" s="74">
        <f t="shared" si="1"/>
        <v>0</v>
      </c>
      <c r="S19" s="74">
        <f t="shared" si="2"/>
        <v>0</v>
      </c>
      <c r="T19" s="74">
        <f t="shared" si="3"/>
        <v>0</v>
      </c>
      <c r="U19" s="74">
        <f t="shared" si="4"/>
        <v>0</v>
      </c>
    </row>
    <row r="20" spans="1:21" x14ac:dyDescent="0.2">
      <c r="A20" s="73" t="s">
        <v>49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/>
      <c r="H20" s="74"/>
      <c r="I20" s="76" t="s">
        <v>49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/>
      <c r="P20" s="77"/>
      <c r="Q20" s="74">
        <f t="shared" si="0"/>
        <v>0</v>
      </c>
      <c r="R20" s="74">
        <f t="shared" si="1"/>
        <v>0</v>
      </c>
      <c r="S20" s="74">
        <f t="shared" si="2"/>
        <v>0</v>
      </c>
      <c r="T20" s="74">
        <f t="shared" si="3"/>
        <v>0</v>
      </c>
      <c r="U20" s="74">
        <f t="shared" si="4"/>
        <v>0</v>
      </c>
    </row>
    <row r="21" spans="1:21" x14ac:dyDescent="0.2">
      <c r="A21" s="73" t="s">
        <v>50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/>
      <c r="H21" s="74"/>
      <c r="I21" s="76" t="s">
        <v>50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/>
      <c r="P21" s="77"/>
      <c r="Q21" s="74">
        <f t="shared" si="0"/>
        <v>0</v>
      </c>
      <c r="R21" s="74">
        <f t="shared" si="1"/>
        <v>0</v>
      </c>
      <c r="S21" s="74">
        <f t="shared" si="2"/>
        <v>0</v>
      </c>
      <c r="T21" s="74">
        <f t="shared" si="3"/>
        <v>0</v>
      </c>
      <c r="U21" s="74">
        <f t="shared" si="4"/>
        <v>0</v>
      </c>
    </row>
    <row r="22" spans="1:21" x14ac:dyDescent="0.2">
      <c r="A22" s="73" t="s">
        <v>51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/>
      <c r="H22" s="74"/>
      <c r="I22" s="76" t="s">
        <v>51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/>
      <c r="P22" s="77"/>
      <c r="Q22" s="74">
        <f t="shared" si="0"/>
        <v>0</v>
      </c>
      <c r="R22" s="74">
        <f t="shared" si="1"/>
        <v>0</v>
      </c>
      <c r="S22" s="74">
        <f t="shared" si="2"/>
        <v>0</v>
      </c>
      <c r="T22" s="74">
        <f t="shared" si="3"/>
        <v>0</v>
      </c>
      <c r="U22" s="74">
        <f t="shared" si="4"/>
        <v>0</v>
      </c>
    </row>
    <row r="23" spans="1:21" x14ac:dyDescent="0.2">
      <c r="A23" s="73" t="s">
        <v>52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/>
      <c r="H23" s="74"/>
      <c r="I23" s="76" t="s">
        <v>52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/>
      <c r="P23" s="77"/>
      <c r="Q23" s="74">
        <f t="shared" si="0"/>
        <v>0</v>
      </c>
      <c r="R23" s="74">
        <f t="shared" si="1"/>
        <v>0</v>
      </c>
      <c r="S23" s="74">
        <f t="shared" si="2"/>
        <v>0</v>
      </c>
      <c r="T23" s="74">
        <f t="shared" si="3"/>
        <v>0</v>
      </c>
      <c r="U23" s="74">
        <f t="shared" si="4"/>
        <v>0</v>
      </c>
    </row>
    <row r="24" spans="1:21" x14ac:dyDescent="0.2">
      <c r="A24" s="73" t="s">
        <v>53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/>
      <c r="H24" s="74"/>
      <c r="I24" s="76" t="s">
        <v>53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/>
      <c r="P24" s="77"/>
      <c r="Q24" s="74">
        <f t="shared" si="0"/>
        <v>0</v>
      </c>
      <c r="R24" s="74">
        <f t="shared" si="1"/>
        <v>0</v>
      </c>
      <c r="S24" s="74">
        <f t="shared" si="2"/>
        <v>0</v>
      </c>
      <c r="T24" s="74">
        <f t="shared" si="3"/>
        <v>0</v>
      </c>
      <c r="U24" s="74">
        <f t="shared" si="4"/>
        <v>0</v>
      </c>
    </row>
    <row r="25" spans="1:21" x14ac:dyDescent="0.2">
      <c r="A25" s="73" t="s">
        <v>54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/>
      <c r="H25" s="74"/>
      <c r="I25" s="76" t="s">
        <v>54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/>
      <c r="P25" s="77"/>
      <c r="Q25" s="74">
        <f t="shared" si="0"/>
        <v>0</v>
      </c>
      <c r="R25" s="74">
        <f t="shared" si="1"/>
        <v>0</v>
      </c>
      <c r="S25" s="74">
        <f t="shared" si="2"/>
        <v>0</v>
      </c>
      <c r="T25" s="74">
        <f t="shared" si="3"/>
        <v>0</v>
      </c>
      <c r="U25" s="74">
        <f t="shared" si="4"/>
        <v>0</v>
      </c>
    </row>
    <row r="26" spans="1:21" x14ac:dyDescent="0.2">
      <c r="A26" s="73" t="s">
        <v>55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/>
      <c r="H26" s="74"/>
      <c r="I26" s="76" t="s">
        <v>55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/>
      <c r="P26" s="77"/>
      <c r="Q26" s="74">
        <f t="shared" si="0"/>
        <v>0</v>
      </c>
      <c r="R26" s="74">
        <f t="shared" si="1"/>
        <v>0</v>
      </c>
      <c r="S26" s="74">
        <f t="shared" si="2"/>
        <v>0</v>
      </c>
      <c r="T26" s="74">
        <f t="shared" si="3"/>
        <v>0</v>
      </c>
      <c r="U26" s="74">
        <f t="shared" si="4"/>
        <v>0</v>
      </c>
    </row>
    <row r="27" spans="1:21" x14ac:dyDescent="0.2">
      <c r="A27" s="73" t="s">
        <v>92</v>
      </c>
      <c r="B27" s="74">
        <v>648920944</v>
      </c>
      <c r="C27" s="74">
        <v>25343709</v>
      </c>
      <c r="D27" s="74">
        <v>501076</v>
      </c>
      <c r="E27" s="74">
        <v>2661538</v>
      </c>
      <c r="F27" s="74">
        <v>339685.36000000004</v>
      </c>
      <c r="G27" s="74"/>
      <c r="H27" s="74"/>
      <c r="I27" s="78" t="s">
        <v>92</v>
      </c>
      <c r="J27" s="79">
        <v>605397142</v>
      </c>
      <c r="K27" s="79">
        <v>23665682</v>
      </c>
      <c r="L27" s="79">
        <v>477235</v>
      </c>
      <c r="M27" s="79">
        <v>2659538</v>
      </c>
      <c r="N27" s="79">
        <v>336034.36000000004</v>
      </c>
      <c r="O27" s="82"/>
      <c r="P27" s="82"/>
      <c r="Q27" s="74">
        <f t="shared" si="0"/>
        <v>2065615.0485040001</v>
      </c>
      <c r="R27" s="74">
        <f t="shared" si="1"/>
        <v>2366568.2000000002</v>
      </c>
      <c r="S27" s="74">
        <f t="shared" si="2"/>
        <v>66187.722150000001</v>
      </c>
      <c r="T27" s="74">
        <f t="shared" si="3"/>
        <v>398106.24322</v>
      </c>
      <c r="U27" s="74">
        <f t="shared" si="4"/>
        <v>30796.742611536007</v>
      </c>
    </row>
    <row r="36" spans="1:23" x14ac:dyDescent="0.2">
      <c r="A36" s="72" t="s">
        <v>91</v>
      </c>
      <c r="B36" t="s">
        <v>93</v>
      </c>
      <c r="C36" t="s">
        <v>105</v>
      </c>
      <c r="D36" t="s">
        <v>106</v>
      </c>
      <c r="E36" t="s">
        <v>107</v>
      </c>
      <c r="F36" t="s">
        <v>108</v>
      </c>
      <c r="G36" t="s">
        <v>113</v>
      </c>
      <c r="I36" t="s">
        <v>91</v>
      </c>
      <c r="J36" t="s">
        <v>93</v>
      </c>
      <c r="K36" t="s">
        <v>105</v>
      </c>
      <c r="L36" t="s">
        <v>106</v>
      </c>
      <c r="M36" t="s">
        <v>107</v>
      </c>
      <c r="N36" t="s">
        <v>108</v>
      </c>
      <c r="O36" t="s">
        <v>113</v>
      </c>
      <c r="Q36" t="s">
        <v>91</v>
      </c>
      <c r="R36" s="80" t="s">
        <v>109</v>
      </c>
      <c r="S36" s="80" t="s">
        <v>110</v>
      </c>
      <c r="T36" s="80" t="s">
        <v>111</v>
      </c>
      <c r="U36" s="80" t="s">
        <v>112</v>
      </c>
      <c r="V36" s="80" t="s">
        <v>104</v>
      </c>
      <c r="W36" s="80" t="s">
        <v>114</v>
      </c>
    </row>
    <row r="37" spans="1:23" x14ac:dyDescent="0.2">
      <c r="A37" s="73" t="s">
        <v>32</v>
      </c>
      <c r="B37" s="85">
        <v>1604515</v>
      </c>
      <c r="C37" s="85">
        <v>111053</v>
      </c>
      <c r="D37" s="85">
        <v>51114.39</v>
      </c>
      <c r="E37" s="85">
        <v>888599</v>
      </c>
      <c r="F37" s="85">
        <v>21038.03</v>
      </c>
      <c r="G37" s="85">
        <v>399494</v>
      </c>
      <c r="I37" t="s">
        <v>32</v>
      </c>
      <c r="J37" s="86">
        <v>1604515</v>
      </c>
      <c r="K37" s="86">
        <v>111053</v>
      </c>
      <c r="L37" s="86">
        <v>51114.39</v>
      </c>
      <c r="M37" s="86">
        <v>888599</v>
      </c>
      <c r="N37" s="86">
        <v>21038.03</v>
      </c>
      <c r="O37" s="86">
        <v>399494</v>
      </c>
      <c r="Q37" t="s">
        <v>80</v>
      </c>
      <c r="R37" s="86">
        <v>2762869.71</v>
      </c>
      <c r="S37" s="86">
        <v>764069.27</v>
      </c>
      <c r="T37" s="86">
        <v>46437.99</v>
      </c>
      <c r="U37" s="86">
        <v>5400</v>
      </c>
      <c r="V37" s="86">
        <v>3950.71</v>
      </c>
      <c r="W37" s="86">
        <v>409052.26</v>
      </c>
    </row>
    <row r="38" spans="1:23" x14ac:dyDescent="0.2">
      <c r="A38" s="73" t="s">
        <v>34</v>
      </c>
      <c r="B38" s="85">
        <v>1747534</v>
      </c>
      <c r="C38" s="85">
        <v>975042.48</v>
      </c>
      <c r="D38" s="85">
        <v>52605.89</v>
      </c>
      <c r="E38" s="85">
        <v>153188</v>
      </c>
      <c r="F38" s="85">
        <v>28452</v>
      </c>
      <c r="G38" s="85">
        <v>344006</v>
      </c>
      <c r="I38" t="s">
        <v>34</v>
      </c>
      <c r="J38" s="86">
        <v>1747534</v>
      </c>
      <c r="K38" s="86">
        <v>975042.48</v>
      </c>
      <c r="L38" s="86">
        <v>52605.89</v>
      </c>
      <c r="M38" s="86">
        <v>153188</v>
      </c>
      <c r="N38" s="86">
        <v>28452</v>
      </c>
      <c r="O38" s="86">
        <v>344006</v>
      </c>
    </row>
    <row r="39" spans="1:23" x14ac:dyDescent="0.2">
      <c r="A39" s="73" t="s">
        <v>35</v>
      </c>
      <c r="B39" s="85">
        <v>2013292</v>
      </c>
      <c r="C39" s="85">
        <v>930263.64</v>
      </c>
      <c r="D39" s="85">
        <v>82939.03</v>
      </c>
      <c r="E39" s="85">
        <v>360080.42</v>
      </c>
      <c r="F39" s="85">
        <v>21854.67</v>
      </c>
      <c r="G39" s="85">
        <v>390410</v>
      </c>
      <c r="I39" t="s">
        <v>35</v>
      </c>
      <c r="J39" s="86">
        <v>2013292</v>
      </c>
      <c r="K39" s="86">
        <v>930263.64</v>
      </c>
      <c r="L39" s="86">
        <v>82939.03</v>
      </c>
      <c r="M39" s="86">
        <v>360080.42</v>
      </c>
      <c r="N39" s="86">
        <v>21854.67</v>
      </c>
      <c r="O39" s="86">
        <v>390410</v>
      </c>
    </row>
    <row r="40" spans="1:23" x14ac:dyDescent="0.2">
      <c r="A40" s="73" t="s">
        <v>37</v>
      </c>
      <c r="B40" s="85">
        <v>2324088.12</v>
      </c>
      <c r="C40" s="85">
        <v>1447793.77</v>
      </c>
      <c r="D40" s="85">
        <v>62223.73</v>
      </c>
      <c r="E40" s="85">
        <v>210092.7</v>
      </c>
      <c r="F40" s="85">
        <v>35420.81</v>
      </c>
      <c r="G40" s="85">
        <v>324512.14</v>
      </c>
      <c r="I40" t="s">
        <v>37</v>
      </c>
      <c r="J40" s="86">
        <v>2324088.12</v>
      </c>
      <c r="K40" s="86">
        <v>1447793.77</v>
      </c>
      <c r="L40" s="86">
        <v>62223.73</v>
      </c>
      <c r="M40" s="86">
        <v>210092.7</v>
      </c>
      <c r="N40" s="86">
        <v>35420.81</v>
      </c>
      <c r="O40" s="86">
        <v>324512.14</v>
      </c>
    </row>
    <row r="41" spans="1:23" x14ac:dyDescent="0.2">
      <c r="A41" s="73" t="s">
        <v>38</v>
      </c>
      <c r="B41" s="85">
        <v>2371907.98</v>
      </c>
      <c r="C41" s="85">
        <v>2051161.89</v>
      </c>
      <c r="D41" s="85">
        <v>83837.97</v>
      </c>
      <c r="E41" s="85">
        <v>5062</v>
      </c>
      <c r="F41" s="85">
        <v>43352.659999999989</v>
      </c>
      <c r="G41" s="85">
        <v>322955.26999999996</v>
      </c>
      <c r="I41" t="s">
        <v>38</v>
      </c>
      <c r="J41" s="86">
        <v>2371907.98</v>
      </c>
      <c r="K41" s="86">
        <v>2051161.89</v>
      </c>
      <c r="L41" s="86">
        <v>83837.97</v>
      </c>
      <c r="M41" s="86">
        <v>5062</v>
      </c>
      <c r="N41" s="86">
        <v>43352.659999999989</v>
      </c>
      <c r="O41" s="86">
        <v>322955.26999999996</v>
      </c>
    </row>
    <row r="42" spans="1:23" x14ac:dyDescent="0.2">
      <c r="A42" s="73" t="s">
        <v>36</v>
      </c>
      <c r="B42" s="85">
        <v>2228582</v>
      </c>
      <c r="C42" s="85">
        <v>720873</v>
      </c>
      <c r="D42" s="85">
        <v>64917</v>
      </c>
      <c r="E42" s="85">
        <v>1016520</v>
      </c>
      <c r="F42" s="85">
        <v>31875</v>
      </c>
      <c r="G42" s="85">
        <v>322312</v>
      </c>
      <c r="I42" t="s">
        <v>36</v>
      </c>
      <c r="J42" s="86">
        <v>2228582</v>
      </c>
      <c r="K42" s="86">
        <v>720873</v>
      </c>
      <c r="L42" s="86">
        <v>64917</v>
      </c>
      <c r="M42" s="86">
        <v>1016520</v>
      </c>
      <c r="N42" s="86">
        <v>31875</v>
      </c>
      <c r="O42" s="86">
        <v>322312</v>
      </c>
    </row>
    <row r="43" spans="1:23" x14ac:dyDescent="0.2">
      <c r="A43" s="73" t="s">
        <v>39</v>
      </c>
      <c r="B43" s="85">
        <v>2301696.84</v>
      </c>
      <c r="C43" s="85">
        <v>1617667.2700000003</v>
      </c>
      <c r="D43" s="85">
        <v>65564.759999999995</v>
      </c>
      <c r="E43" s="85">
        <v>79370</v>
      </c>
      <c r="F43" s="85">
        <v>203.09</v>
      </c>
      <c r="G43" s="85">
        <v>323819.8</v>
      </c>
      <c r="I43" t="s">
        <v>39</v>
      </c>
      <c r="J43" s="86">
        <v>2301696.84</v>
      </c>
      <c r="K43" s="86">
        <v>1617667.2700000003</v>
      </c>
      <c r="L43" s="86">
        <v>65564.759999999995</v>
      </c>
      <c r="M43" s="86">
        <v>79370</v>
      </c>
      <c r="N43" s="86">
        <v>203.09</v>
      </c>
      <c r="O43" s="86">
        <v>323819.8</v>
      </c>
    </row>
    <row r="44" spans="1:23" x14ac:dyDescent="0.2">
      <c r="A44" s="73" t="s">
        <v>40</v>
      </c>
      <c r="B44" s="85">
        <v>2605660.39</v>
      </c>
      <c r="C44" s="85">
        <v>1134700.69</v>
      </c>
      <c r="D44" s="85">
        <v>85505.7</v>
      </c>
      <c r="E44" s="85">
        <v>10681.5</v>
      </c>
      <c r="F44" s="85">
        <v>46976.98</v>
      </c>
      <c r="G44" s="85">
        <v>303812.13999999996</v>
      </c>
      <c r="I44" t="s">
        <v>40</v>
      </c>
      <c r="J44" s="86">
        <v>2605660.39</v>
      </c>
      <c r="K44" s="86">
        <v>1134700.69</v>
      </c>
      <c r="L44" s="86">
        <v>85505.7</v>
      </c>
      <c r="M44" s="86">
        <v>10681.5</v>
      </c>
      <c r="N44" s="86">
        <v>46976.98</v>
      </c>
      <c r="O44" s="86">
        <v>303812.13999999996</v>
      </c>
    </row>
    <row r="45" spans="1:23" x14ac:dyDescent="0.2">
      <c r="A45" s="73" t="s">
        <v>41</v>
      </c>
      <c r="B45" s="85">
        <v>2575271</v>
      </c>
      <c r="C45" s="85">
        <v>1118459</v>
      </c>
      <c r="D45" s="85">
        <v>128022</v>
      </c>
      <c r="E45" s="85">
        <v>0</v>
      </c>
      <c r="F45" s="85">
        <v>50129</v>
      </c>
      <c r="G45" s="85">
        <v>303706</v>
      </c>
      <c r="I45" t="s">
        <v>41</v>
      </c>
      <c r="J45" s="86">
        <v>2575271</v>
      </c>
      <c r="K45" s="86">
        <v>1118459</v>
      </c>
      <c r="L45" s="86">
        <v>128022</v>
      </c>
      <c r="M45" s="86">
        <v>0</v>
      </c>
      <c r="N45" s="86">
        <v>50129</v>
      </c>
      <c r="O45" s="86">
        <v>303706</v>
      </c>
    </row>
    <row r="46" spans="1:23" x14ac:dyDescent="0.2">
      <c r="A46" s="73" t="s">
        <v>42</v>
      </c>
      <c r="B46" s="85">
        <v>2771167.67</v>
      </c>
      <c r="C46" s="85">
        <v>1002984.2599999999</v>
      </c>
      <c r="D46" s="85">
        <v>131258.73000000001</v>
      </c>
      <c r="E46" s="85">
        <v>0</v>
      </c>
      <c r="F46" s="85">
        <v>50193.89</v>
      </c>
      <c r="G46" s="85">
        <v>337540.86</v>
      </c>
      <c r="I46" t="s">
        <v>42</v>
      </c>
      <c r="J46" s="86">
        <v>2771167.67</v>
      </c>
      <c r="K46" s="86">
        <v>1002984.2599999999</v>
      </c>
      <c r="L46" s="86">
        <v>131258.73000000001</v>
      </c>
      <c r="M46" s="86">
        <v>0</v>
      </c>
      <c r="N46" s="86">
        <v>50193.89</v>
      </c>
      <c r="O46" s="86">
        <v>337540.86</v>
      </c>
    </row>
    <row r="47" spans="1:23" x14ac:dyDescent="0.2">
      <c r="A47" s="73" t="s">
        <v>43</v>
      </c>
      <c r="B47" s="85">
        <v>3049797</v>
      </c>
      <c r="C47" s="85">
        <v>1089996.55</v>
      </c>
      <c r="D47" s="85">
        <v>82008.009999999995</v>
      </c>
      <c r="E47" s="85">
        <v>0</v>
      </c>
      <c r="F47" s="85">
        <v>44732.5</v>
      </c>
      <c r="G47" s="85">
        <v>305500.78999999998</v>
      </c>
      <c r="I47" t="s">
        <v>43</v>
      </c>
      <c r="J47" s="86">
        <v>3049797</v>
      </c>
      <c r="K47" s="86">
        <v>1089996.55</v>
      </c>
      <c r="L47" s="86">
        <v>82008.009999999995</v>
      </c>
      <c r="M47" s="86">
        <v>0</v>
      </c>
      <c r="N47" s="86">
        <v>44732.5</v>
      </c>
      <c r="O47" s="86">
        <v>305500.78999999998</v>
      </c>
    </row>
    <row r="48" spans="1:23" x14ac:dyDescent="0.2">
      <c r="A48" s="73" t="s">
        <v>44</v>
      </c>
      <c r="B48" s="85">
        <v>3120686.79</v>
      </c>
      <c r="C48" s="85">
        <v>1122036.0999999999</v>
      </c>
      <c r="D48" s="85">
        <v>67481.66</v>
      </c>
      <c r="E48" s="85">
        <v>209611.49</v>
      </c>
      <c r="F48" s="85">
        <v>65578.399999999994</v>
      </c>
      <c r="G48" s="85">
        <v>327140.08</v>
      </c>
      <c r="I48" t="s">
        <v>44</v>
      </c>
      <c r="J48" s="86">
        <v>3120686.79</v>
      </c>
      <c r="K48" s="86">
        <v>1122036.0999999999</v>
      </c>
      <c r="L48" s="86">
        <v>67481.66</v>
      </c>
      <c r="M48" s="86">
        <v>209611.49</v>
      </c>
      <c r="N48" s="86">
        <v>65578.399999999994</v>
      </c>
      <c r="O48" s="86">
        <v>327140.08</v>
      </c>
    </row>
    <row r="49" spans="1:15" x14ac:dyDescent="0.2">
      <c r="A49" s="73" t="s">
        <v>45</v>
      </c>
      <c r="B49" s="85">
        <v>3065919.4</v>
      </c>
      <c r="C49" s="85">
        <v>1041140.14</v>
      </c>
      <c r="D49" s="85">
        <v>57203.78</v>
      </c>
      <c r="E49" s="85">
        <v>114116</v>
      </c>
      <c r="F49" s="85">
        <v>34963.800000000003</v>
      </c>
      <c r="G49" s="85">
        <v>368817.23</v>
      </c>
      <c r="I49" t="s">
        <v>45</v>
      </c>
      <c r="J49" s="86">
        <v>3065919.4</v>
      </c>
      <c r="K49" s="86">
        <v>1041140.14</v>
      </c>
      <c r="L49" s="86">
        <v>57203.78</v>
      </c>
      <c r="M49" s="86">
        <v>114116</v>
      </c>
      <c r="N49" s="86">
        <v>34963.800000000003</v>
      </c>
      <c r="O49" s="86">
        <v>368817.23</v>
      </c>
    </row>
    <row r="50" spans="1:15" x14ac:dyDescent="0.2">
      <c r="A50" s="73" t="s">
        <v>46</v>
      </c>
      <c r="B50" s="85">
        <v>2865185.25</v>
      </c>
      <c r="C50" s="85">
        <v>821873.46</v>
      </c>
      <c r="D50" s="85">
        <v>31042.21</v>
      </c>
      <c r="E50" s="85">
        <v>5400</v>
      </c>
      <c r="F50" s="85">
        <v>22576.78</v>
      </c>
      <c r="G50" s="85">
        <v>353745.26000000007</v>
      </c>
      <c r="I50" t="s">
        <v>46</v>
      </c>
      <c r="J50" s="86">
        <v>2865185.25</v>
      </c>
      <c r="K50" s="86">
        <v>821873.46</v>
      </c>
      <c r="L50" s="86">
        <v>31042.21</v>
      </c>
      <c r="M50" s="86">
        <v>5400</v>
      </c>
      <c r="N50" s="86">
        <v>22576.78</v>
      </c>
      <c r="O50" s="86">
        <v>353745.26000000007</v>
      </c>
    </row>
    <row r="51" spans="1:15" x14ac:dyDescent="0.2">
      <c r="A51" s="73" t="s">
        <v>80</v>
      </c>
      <c r="B51" s="85">
        <v>2762869.71</v>
      </c>
      <c r="C51" s="85">
        <v>764069.27</v>
      </c>
      <c r="D51" s="85">
        <v>46437.99</v>
      </c>
      <c r="E51" s="85">
        <v>5400</v>
      </c>
      <c r="F51" s="85">
        <v>3950.71</v>
      </c>
      <c r="G51" s="85">
        <v>409052.26</v>
      </c>
      <c r="I51" t="s">
        <v>80</v>
      </c>
      <c r="J51" s="86">
        <v>2762869.71</v>
      </c>
      <c r="K51" s="86">
        <v>764069.27</v>
      </c>
      <c r="L51" s="86">
        <v>46437.99</v>
      </c>
      <c r="M51" s="86">
        <v>5400</v>
      </c>
      <c r="N51" s="86">
        <v>3950.71</v>
      </c>
      <c r="O51" s="86">
        <v>409052.26</v>
      </c>
    </row>
    <row r="52" spans="1:15" x14ac:dyDescent="0.2">
      <c r="A52" s="73" t="s">
        <v>48</v>
      </c>
      <c r="B52" s="85">
        <v>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I52" t="s">
        <v>48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</row>
    <row r="53" spans="1:15" x14ac:dyDescent="0.2">
      <c r="A53" s="73" t="s">
        <v>49</v>
      </c>
      <c r="B53" s="85">
        <v>0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I53" t="s">
        <v>49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</row>
    <row r="54" spans="1:15" x14ac:dyDescent="0.2">
      <c r="A54" s="73" t="s">
        <v>50</v>
      </c>
      <c r="B54" s="85">
        <v>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I54" t="s">
        <v>50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</row>
    <row r="55" spans="1:15" x14ac:dyDescent="0.2">
      <c r="A55" s="73" t="s">
        <v>51</v>
      </c>
      <c r="B55" s="85">
        <v>0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I55" t="s">
        <v>51</v>
      </c>
      <c r="J55" s="86">
        <v>0</v>
      </c>
      <c r="K55" s="86">
        <v>0</v>
      </c>
      <c r="L55" s="86">
        <v>0</v>
      </c>
      <c r="M55" s="86">
        <v>0</v>
      </c>
      <c r="N55" s="86">
        <v>0</v>
      </c>
      <c r="O55" s="86">
        <v>0</v>
      </c>
    </row>
    <row r="56" spans="1:15" x14ac:dyDescent="0.2">
      <c r="A56" s="73" t="s">
        <v>52</v>
      </c>
      <c r="B56" s="85">
        <v>0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I56" t="s">
        <v>52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</row>
    <row r="57" spans="1:15" x14ac:dyDescent="0.2">
      <c r="A57" s="73" t="s">
        <v>53</v>
      </c>
      <c r="B57" s="85">
        <v>0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I57" t="s">
        <v>53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</row>
    <row r="58" spans="1:15" x14ac:dyDescent="0.2">
      <c r="A58" s="73" t="s">
        <v>54</v>
      </c>
      <c r="B58" s="85">
        <v>0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I58" t="s">
        <v>54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</row>
    <row r="59" spans="1:15" x14ac:dyDescent="0.2">
      <c r="A59" s="73" t="s">
        <v>55</v>
      </c>
      <c r="B59" s="85">
        <v>0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I59" t="s">
        <v>55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</row>
    <row r="60" spans="1:15" x14ac:dyDescent="0.2">
      <c r="A60" s="73" t="s">
        <v>92</v>
      </c>
      <c r="B60" s="85">
        <v>37408173.149999999</v>
      </c>
      <c r="C60" s="85">
        <v>15949114.52</v>
      </c>
      <c r="D60" s="85">
        <v>1092162.8500000001</v>
      </c>
      <c r="E60" s="85">
        <v>3058121.1100000003</v>
      </c>
      <c r="F60" s="85">
        <v>501298.32</v>
      </c>
      <c r="G60" s="85">
        <v>5136823.83</v>
      </c>
      <c r="I60" t="s">
        <v>92</v>
      </c>
      <c r="J60" s="86">
        <v>34645303.439999998</v>
      </c>
      <c r="K60" s="86">
        <v>15185045.25</v>
      </c>
      <c r="L60" s="86">
        <v>1045724.86</v>
      </c>
      <c r="M60" s="86">
        <v>3052721.1100000003</v>
      </c>
      <c r="N60" s="86">
        <v>497347.61</v>
      </c>
      <c r="O60" s="86">
        <v>4727771.57</v>
      </c>
    </row>
  </sheetData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workbookViewId="0">
      <selection activeCell="H19" sqref="H19"/>
    </sheetView>
  </sheetViews>
  <sheetFormatPr defaultRowHeight="12.75" x14ac:dyDescent="0.2"/>
  <cols>
    <col min="1" max="1" width="13.85546875" bestFit="1" customWidth="1"/>
    <col min="2" max="2" width="13.42578125" bestFit="1" customWidth="1"/>
    <col min="3" max="3" width="15" bestFit="1" customWidth="1"/>
    <col min="5" max="5" width="9.140625" style="73"/>
    <col min="9" max="9" width="12.7109375" customWidth="1"/>
  </cols>
  <sheetData>
    <row r="3" spans="1:10" x14ac:dyDescent="0.2">
      <c r="A3" s="72" t="s">
        <v>91</v>
      </c>
      <c r="B3" t="s">
        <v>117</v>
      </c>
      <c r="C3" t="s">
        <v>118</v>
      </c>
      <c r="E3" s="91" t="s">
        <v>121</v>
      </c>
      <c r="F3" s="80" t="s">
        <v>120</v>
      </c>
      <c r="G3" s="80" t="s">
        <v>119</v>
      </c>
      <c r="H3" s="80" t="s">
        <v>123</v>
      </c>
      <c r="I3" s="80" t="s">
        <v>139</v>
      </c>
      <c r="J3" s="80" t="s">
        <v>82</v>
      </c>
    </row>
    <row r="4" spans="1:10" x14ac:dyDescent="0.2">
      <c r="A4" s="73" t="s">
        <v>32</v>
      </c>
      <c r="B4" s="87">
        <v>4.6285510708021782E-2</v>
      </c>
      <c r="C4" s="87">
        <v>7.6863393802645327E-2</v>
      </c>
      <c r="E4" s="91" t="s">
        <v>122</v>
      </c>
      <c r="F4" s="89">
        <v>4.6285510708021782E-2</v>
      </c>
      <c r="G4" s="90"/>
      <c r="H4" s="88">
        <v>7.68633938026453E-2</v>
      </c>
    </row>
    <row r="5" spans="1:10" x14ac:dyDescent="0.2">
      <c r="A5" s="73" t="s">
        <v>34</v>
      </c>
      <c r="B5" s="87">
        <v>4.7180662649301278E-2</v>
      </c>
      <c r="C5" s="87">
        <v>0.60706813186813191</v>
      </c>
      <c r="E5" s="73" t="s">
        <v>34</v>
      </c>
      <c r="F5" s="89">
        <v>4.7180662649301278E-2</v>
      </c>
      <c r="G5" s="86">
        <f t="shared" ref="G5:G26" si="0">H5*10</f>
        <v>6.0706813186813191</v>
      </c>
      <c r="H5" s="86">
        <v>0.60706813186813191</v>
      </c>
      <c r="I5" s="85">
        <f>F5/3412*1000000</f>
        <v>13.827861268845627</v>
      </c>
      <c r="J5" s="85">
        <f>G5</f>
        <v>6.0706813186813191</v>
      </c>
    </row>
    <row r="6" spans="1:10" x14ac:dyDescent="0.2">
      <c r="A6" s="73" t="s">
        <v>35</v>
      </c>
      <c r="B6" s="87">
        <v>4.8117028113428821E-2</v>
      </c>
      <c r="C6" s="87">
        <v>0.64386750885586019</v>
      </c>
      <c r="E6" s="73" t="s">
        <v>35</v>
      </c>
      <c r="F6" s="89">
        <v>4.8117028113428821E-2</v>
      </c>
      <c r="G6" s="86">
        <f t="shared" si="0"/>
        <v>6.4386750885586022</v>
      </c>
      <c r="H6" s="86">
        <v>0.64386750885586019</v>
      </c>
      <c r="I6" s="85">
        <f t="shared" ref="I6:I17" si="1">F6/3412*1000000</f>
        <v>14.102294288812667</v>
      </c>
      <c r="J6" s="85">
        <f t="shared" ref="J6:J17" si="2">G6</f>
        <v>6.4386750885586022</v>
      </c>
    </row>
    <row r="7" spans="1:10" x14ac:dyDescent="0.2">
      <c r="A7" s="73" t="s">
        <v>37</v>
      </c>
      <c r="B7" s="87">
        <v>5.4996027373920946E-2</v>
      </c>
      <c r="C7" s="87">
        <v>0.82038340821531563</v>
      </c>
      <c r="E7" s="73" t="s">
        <v>36</v>
      </c>
      <c r="F7" s="89">
        <v>5.4996027373920946E-2</v>
      </c>
      <c r="G7" s="86">
        <f t="shared" si="0"/>
        <v>8.2038340821531559</v>
      </c>
      <c r="H7" s="86">
        <v>0.82038340821531563</v>
      </c>
      <c r="I7" s="85">
        <f t="shared" si="1"/>
        <v>16.118413650035446</v>
      </c>
      <c r="J7" s="85">
        <f t="shared" si="2"/>
        <v>8.2038340821531559</v>
      </c>
    </row>
    <row r="8" spans="1:10" x14ac:dyDescent="0.2">
      <c r="A8" s="73" t="s">
        <v>38</v>
      </c>
      <c r="B8" s="87">
        <v>5.6883561164191701E-2</v>
      </c>
      <c r="C8" s="87">
        <v>1.0035421557182711</v>
      </c>
      <c r="E8" s="73" t="s">
        <v>124</v>
      </c>
      <c r="F8" s="89">
        <v>5.6883561164191701E-2</v>
      </c>
      <c r="G8" s="86">
        <f t="shared" si="0"/>
        <v>10.035421557182712</v>
      </c>
      <c r="H8" s="86">
        <v>1.0035421557182711</v>
      </c>
      <c r="I8" s="85">
        <f t="shared" si="1"/>
        <v>16.671618160665798</v>
      </c>
      <c r="J8" s="85">
        <f t="shared" si="2"/>
        <v>10.035421557182712</v>
      </c>
    </row>
    <row r="9" spans="1:10" x14ac:dyDescent="0.2">
      <c r="A9" s="73" t="s">
        <v>36</v>
      </c>
      <c r="B9" s="87">
        <v>5.0691987844378936E-2</v>
      </c>
      <c r="C9" s="87">
        <v>1.6056258032327544</v>
      </c>
      <c r="E9" s="73" t="s">
        <v>125</v>
      </c>
      <c r="F9" s="89">
        <v>5.0691987844378936E-2</v>
      </c>
      <c r="G9" s="86">
        <f t="shared" si="0"/>
        <v>16.056258032327545</v>
      </c>
      <c r="H9" s="86">
        <v>1.6056258032327544</v>
      </c>
      <c r="I9" s="85">
        <f t="shared" si="1"/>
        <v>14.856971818399453</v>
      </c>
      <c r="J9" s="85">
        <f t="shared" si="2"/>
        <v>16.056258032327545</v>
      </c>
    </row>
    <row r="10" spans="1:10" x14ac:dyDescent="0.2">
      <c r="A10" s="73" t="s">
        <v>39</v>
      </c>
      <c r="B10" s="87">
        <v>5.3995675882774909E-2</v>
      </c>
      <c r="C10" s="87">
        <v>0.79756405490420368</v>
      </c>
      <c r="E10" s="73" t="s">
        <v>39</v>
      </c>
      <c r="F10" s="89">
        <v>5.3995675882774909E-2</v>
      </c>
      <c r="G10" s="86">
        <f t="shared" si="0"/>
        <v>7.975640549042037</v>
      </c>
      <c r="H10" s="86">
        <v>0.79756405490420368</v>
      </c>
      <c r="I10" s="85">
        <f t="shared" si="1"/>
        <v>15.825227398234146</v>
      </c>
      <c r="J10" s="85">
        <f t="shared" si="2"/>
        <v>7.975640549042037</v>
      </c>
    </row>
    <row r="11" spans="1:10" x14ac:dyDescent="0.2">
      <c r="A11" s="73" t="s">
        <v>40</v>
      </c>
      <c r="B11" s="87">
        <v>5.8320360397865638E-2</v>
      </c>
      <c r="C11" s="87">
        <v>0.66148455885996438</v>
      </c>
      <c r="E11" s="73" t="s">
        <v>40</v>
      </c>
      <c r="F11" s="89">
        <v>5.8320360397865638E-2</v>
      </c>
      <c r="G11" s="86">
        <f t="shared" si="0"/>
        <v>6.6148455885996436</v>
      </c>
      <c r="H11" s="86">
        <v>0.66148455885996438</v>
      </c>
      <c r="I11" s="85">
        <f t="shared" si="1"/>
        <v>17.092719929034477</v>
      </c>
      <c r="J11" s="85">
        <f t="shared" si="2"/>
        <v>6.6148455885996436</v>
      </c>
    </row>
    <row r="12" spans="1:10" x14ac:dyDescent="0.2">
      <c r="A12" s="73" t="s">
        <v>41</v>
      </c>
      <c r="B12" s="87">
        <v>5.740581978029817E-2</v>
      </c>
      <c r="C12" s="87">
        <v>0.58164462992576416</v>
      </c>
      <c r="E12" s="73" t="s">
        <v>41</v>
      </c>
      <c r="F12" s="89">
        <v>5.740581978029817E-2</v>
      </c>
      <c r="G12" s="86">
        <f t="shared" si="0"/>
        <v>5.8164462992576418</v>
      </c>
      <c r="H12" s="86">
        <v>0.58164462992576416</v>
      </c>
      <c r="I12" s="85">
        <f t="shared" si="1"/>
        <v>16.824683405714588</v>
      </c>
      <c r="J12" s="85">
        <f t="shared" si="2"/>
        <v>5.8164462992576418</v>
      </c>
    </row>
    <row r="13" spans="1:10" x14ac:dyDescent="0.2">
      <c r="A13" s="73" t="s">
        <v>42</v>
      </c>
      <c r="B13" s="87">
        <v>6.0713702588775544E-2</v>
      </c>
      <c r="C13" s="87">
        <v>0.55637150223772458</v>
      </c>
      <c r="E13" s="73" t="s">
        <v>42</v>
      </c>
      <c r="F13" s="89">
        <v>6.0713702588775544E-2</v>
      </c>
      <c r="G13" s="86">
        <f t="shared" si="0"/>
        <v>5.563715022377246</v>
      </c>
      <c r="H13" s="86">
        <v>0.55637150223772458</v>
      </c>
      <c r="I13" s="85">
        <f t="shared" si="1"/>
        <v>17.794168402337498</v>
      </c>
      <c r="J13" s="85">
        <f t="shared" si="2"/>
        <v>5.563715022377246</v>
      </c>
    </row>
    <row r="14" spans="1:10" x14ac:dyDescent="0.2">
      <c r="A14" s="73" t="s">
        <v>43</v>
      </c>
      <c r="B14" s="87">
        <v>6.4339865537185667E-2</v>
      </c>
      <c r="C14" s="87">
        <v>0.56060236142920117</v>
      </c>
      <c r="E14" s="73" t="s">
        <v>43</v>
      </c>
      <c r="F14" s="89">
        <v>6.4339865537185667E-2</v>
      </c>
      <c r="G14" s="86">
        <f t="shared" si="0"/>
        <v>5.6060236142920115</v>
      </c>
      <c r="H14" s="86">
        <v>0.56060236142920117</v>
      </c>
      <c r="I14" s="85">
        <f t="shared" si="1"/>
        <v>18.85693597221151</v>
      </c>
      <c r="J14" s="85">
        <f t="shared" si="2"/>
        <v>5.6060236142920115</v>
      </c>
    </row>
    <row r="15" spans="1:10" x14ac:dyDescent="0.2">
      <c r="A15" s="73" t="s">
        <v>44</v>
      </c>
      <c r="B15" s="87">
        <v>6.5027313587717545E-2</v>
      </c>
      <c r="C15" s="87">
        <v>0.60320629851837504</v>
      </c>
      <c r="E15" s="73" t="s">
        <v>44</v>
      </c>
      <c r="F15" s="89">
        <v>6.5027313587717545E-2</v>
      </c>
      <c r="G15" s="86">
        <f t="shared" si="0"/>
        <v>6.0320629851837504</v>
      </c>
      <c r="H15" s="86">
        <v>0.60320629851837504</v>
      </c>
      <c r="I15" s="85">
        <f t="shared" si="1"/>
        <v>19.058415471195058</v>
      </c>
      <c r="J15" s="85">
        <f t="shared" si="2"/>
        <v>6.0320629851837504</v>
      </c>
    </row>
    <row r="16" spans="1:10" x14ac:dyDescent="0.2">
      <c r="A16" s="73" t="s">
        <v>45</v>
      </c>
      <c r="B16" s="87">
        <v>6.504245903447807E-2</v>
      </c>
      <c r="C16" s="87">
        <v>0.53463607789128065</v>
      </c>
      <c r="E16" s="73" t="s">
        <v>45</v>
      </c>
      <c r="F16" s="89">
        <v>6.504245903447807E-2</v>
      </c>
      <c r="G16" s="86">
        <f t="shared" si="0"/>
        <v>5.3463607789128069</v>
      </c>
      <c r="H16" s="86">
        <v>0.53463607789128065</v>
      </c>
      <c r="I16" s="85">
        <f t="shared" si="1"/>
        <v>19.062854347736831</v>
      </c>
      <c r="J16" s="85">
        <f t="shared" si="2"/>
        <v>5.3463607789128069</v>
      </c>
    </row>
    <row r="17" spans="1:10" x14ac:dyDescent="0.2">
      <c r="A17" s="73" t="s">
        <v>46</v>
      </c>
      <c r="B17" s="87">
        <v>6.5727340702654402E-2</v>
      </c>
      <c r="C17" s="87">
        <v>0.48599242870422271</v>
      </c>
      <c r="E17" s="73" t="s">
        <v>46</v>
      </c>
      <c r="F17" s="89">
        <v>6.5727340702654402E-2</v>
      </c>
      <c r="G17" s="86">
        <f t="shared" si="0"/>
        <v>4.8599242870422268</v>
      </c>
      <c r="H17" s="86">
        <v>0.48599242870422271</v>
      </c>
      <c r="I17" s="85">
        <f t="shared" si="1"/>
        <v>19.263581683075731</v>
      </c>
      <c r="J17" s="85">
        <f t="shared" si="2"/>
        <v>4.8599242870422268</v>
      </c>
    </row>
    <row r="18" spans="1:10" x14ac:dyDescent="0.2">
      <c r="A18" s="73" t="s">
        <v>80</v>
      </c>
      <c r="B18" s="87">
        <v>6.3111899063230656E-2</v>
      </c>
      <c r="C18" s="87">
        <v>0.45391592236036016</v>
      </c>
      <c r="E18" s="73" t="s">
        <v>80</v>
      </c>
      <c r="F18" s="89">
        <v>6.3E-2</v>
      </c>
      <c r="G18" s="86">
        <v>4.54</v>
      </c>
      <c r="H18" s="86">
        <v>0.45400000000000001</v>
      </c>
      <c r="I18" s="85">
        <f>F18/3412*1000000</f>
        <v>18.464243845252053</v>
      </c>
      <c r="J18" s="85">
        <f>G18</f>
        <v>4.54</v>
      </c>
    </row>
    <row r="19" spans="1:10" x14ac:dyDescent="0.2">
      <c r="A19" s="73" t="s">
        <v>48</v>
      </c>
      <c r="B19" s="87">
        <v>0</v>
      </c>
      <c r="C19" s="87">
        <v>0</v>
      </c>
      <c r="E19" s="73" t="s">
        <v>48</v>
      </c>
      <c r="F19" s="89">
        <v>0</v>
      </c>
      <c r="G19" s="86">
        <f t="shared" si="0"/>
        <v>0</v>
      </c>
      <c r="H19" s="86">
        <v>0</v>
      </c>
    </row>
    <row r="20" spans="1:10" x14ac:dyDescent="0.2">
      <c r="A20" s="73" t="s">
        <v>49</v>
      </c>
      <c r="B20" s="87">
        <v>0</v>
      </c>
      <c r="C20" s="87">
        <v>0</v>
      </c>
      <c r="E20" s="73" t="s">
        <v>49</v>
      </c>
      <c r="F20" s="89">
        <v>0</v>
      </c>
      <c r="G20" s="86">
        <f t="shared" si="0"/>
        <v>0</v>
      </c>
      <c r="H20" s="86">
        <v>0</v>
      </c>
    </row>
    <row r="21" spans="1:10" x14ac:dyDescent="0.2">
      <c r="A21" s="73" t="s">
        <v>50</v>
      </c>
      <c r="B21" s="87">
        <v>0</v>
      </c>
      <c r="C21" s="87">
        <v>0</v>
      </c>
      <c r="E21" s="73" t="s">
        <v>50</v>
      </c>
      <c r="F21" s="89">
        <v>0</v>
      </c>
      <c r="G21" s="86">
        <f t="shared" si="0"/>
        <v>0</v>
      </c>
      <c r="H21" s="86">
        <v>0</v>
      </c>
    </row>
    <row r="22" spans="1:10" x14ac:dyDescent="0.2">
      <c r="A22" s="73" t="s">
        <v>51</v>
      </c>
      <c r="B22" s="87">
        <v>0</v>
      </c>
      <c r="C22" s="87">
        <v>0</v>
      </c>
      <c r="E22" s="73" t="s">
        <v>51</v>
      </c>
      <c r="F22" s="89">
        <v>0</v>
      </c>
      <c r="G22" s="86">
        <f t="shared" si="0"/>
        <v>0</v>
      </c>
      <c r="H22" s="86">
        <v>0</v>
      </c>
    </row>
    <row r="23" spans="1:10" x14ac:dyDescent="0.2">
      <c r="A23" s="73" t="s">
        <v>52</v>
      </c>
      <c r="B23" s="87">
        <v>0</v>
      </c>
      <c r="C23" s="87">
        <v>0</v>
      </c>
      <c r="E23" s="73" t="s">
        <v>52</v>
      </c>
      <c r="F23" s="89">
        <v>0</v>
      </c>
      <c r="G23" s="86">
        <f t="shared" si="0"/>
        <v>0</v>
      </c>
      <c r="H23" s="86">
        <v>0</v>
      </c>
    </row>
    <row r="24" spans="1:10" x14ac:dyDescent="0.2">
      <c r="A24" s="73" t="s">
        <v>53</v>
      </c>
      <c r="B24" s="87">
        <v>0</v>
      </c>
      <c r="C24" s="87">
        <v>0</v>
      </c>
      <c r="E24" s="73" t="s">
        <v>53</v>
      </c>
      <c r="F24" s="89">
        <v>0</v>
      </c>
      <c r="G24" s="86">
        <f t="shared" si="0"/>
        <v>0</v>
      </c>
      <c r="H24" s="86">
        <v>0</v>
      </c>
    </row>
    <row r="25" spans="1:10" x14ac:dyDescent="0.2">
      <c r="A25" s="73" t="s">
        <v>54</v>
      </c>
      <c r="B25" s="87">
        <v>0</v>
      </c>
      <c r="C25" s="87">
        <v>0</v>
      </c>
      <c r="E25" s="73" t="s">
        <v>54</v>
      </c>
      <c r="F25" s="89">
        <v>0</v>
      </c>
      <c r="G25" s="86">
        <f t="shared" si="0"/>
        <v>0</v>
      </c>
      <c r="H25" s="86">
        <v>0</v>
      </c>
    </row>
    <row r="26" spans="1:10" x14ac:dyDescent="0.2">
      <c r="A26" s="73" t="s">
        <v>55</v>
      </c>
      <c r="B26" s="87">
        <v>0</v>
      </c>
      <c r="C26" s="87">
        <v>0</v>
      </c>
      <c r="E26" s="73" t="s">
        <v>55</v>
      </c>
      <c r="F26" s="89">
        <v>0</v>
      </c>
      <c r="G26" s="86">
        <f t="shared" si="0"/>
        <v>0</v>
      </c>
      <c r="H26" s="86">
        <v>0</v>
      </c>
    </row>
    <row r="27" spans="1:10" x14ac:dyDescent="0.2">
      <c r="F27" s="89"/>
      <c r="G27" s="86"/>
      <c r="H27" s="86"/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120" zoomScaleNormal="12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28" sqref="L28"/>
    </sheetView>
  </sheetViews>
  <sheetFormatPr defaultRowHeight="12.75" x14ac:dyDescent="0.2"/>
  <sheetData>
    <row r="1" spans="1:18" x14ac:dyDescent="0.2">
      <c r="A1" s="4"/>
      <c r="B1" s="20"/>
      <c r="C1" s="6"/>
      <c r="D1" s="124" t="s">
        <v>56</v>
      </c>
      <c r="E1" s="125"/>
      <c r="F1" s="125"/>
      <c r="G1" s="125"/>
      <c r="H1" s="125"/>
      <c r="I1" s="126"/>
      <c r="J1" s="127" t="s">
        <v>57</v>
      </c>
      <c r="K1" s="128"/>
      <c r="L1" s="128"/>
      <c r="M1" s="128"/>
      <c r="N1" s="129"/>
    </row>
    <row r="2" spans="1:18" ht="22.5" x14ac:dyDescent="0.2">
      <c r="A2" s="4"/>
      <c r="B2" s="22"/>
      <c r="C2" s="6"/>
      <c r="D2" s="23" t="s">
        <v>58</v>
      </c>
      <c r="E2" s="24" t="s">
        <v>59</v>
      </c>
      <c r="F2" s="24" t="s">
        <v>60</v>
      </c>
      <c r="G2" s="23" t="s">
        <v>61</v>
      </c>
      <c r="H2" s="24" t="s">
        <v>62</v>
      </c>
      <c r="I2" s="23" t="s">
        <v>63</v>
      </c>
      <c r="J2" s="23" t="s">
        <v>64</v>
      </c>
      <c r="K2" s="24" t="s">
        <v>65</v>
      </c>
      <c r="L2" s="23" t="s">
        <v>66</v>
      </c>
      <c r="M2" s="24" t="s">
        <v>67</v>
      </c>
      <c r="N2" s="23" t="s">
        <v>68</v>
      </c>
      <c r="Q2" s="24" t="s">
        <v>136</v>
      </c>
      <c r="R2" s="24" t="s">
        <v>135</v>
      </c>
    </row>
    <row r="3" spans="1:18" x14ac:dyDescent="0.2">
      <c r="A3" s="4">
        <v>60005010</v>
      </c>
      <c r="B3" s="4" t="s">
        <v>32</v>
      </c>
      <c r="C3" s="14" t="s">
        <v>79</v>
      </c>
      <c r="D3" s="25"/>
      <c r="E3" s="26">
        <v>1.136282143054264</v>
      </c>
      <c r="F3" s="26">
        <v>6.3620696956746494</v>
      </c>
      <c r="G3" s="27"/>
      <c r="H3" s="28">
        <v>178602.59277366652</v>
      </c>
      <c r="I3" s="27"/>
      <c r="J3" s="29"/>
      <c r="K3" s="30">
        <v>3.2730386052303859</v>
      </c>
      <c r="L3" s="29"/>
      <c r="M3" s="31">
        <v>51.821188538336457</v>
      </c>
      <c r="N3" s="29"/>
      <c r="P3" s="4" t="s">
        <v>32</v>
      </c>
      <c r="Q3" s="28">
        <v>178602.59277366652</v>
      </c>
      <c r="R3" s="26">
        <v>6.3620696956746494</v>
      </c>
    </row>
    <row r="4" spans="1:18" x14ac:dyDescent="0.2">
      <c r="A4" s="4">
        <v>60005010</v>
      </c>
      <c r="B4" s="4" t="s">
        <v>34</v>
      </c>
      <c r="C4" s="14" t="s">
        <v>79</v>
      </c>
      <c r="D4" s="32">
        <v>910203.6501550281</v>
      </c>
      <c r="E4" s="26">
        <v>1.2553749877936426</v>
      </c>
      <c r="F4" s="26">
        <v>9.1925832437496044</v>
      </c>
      <c r="G4" s="33">
        <v>0.4449045174716213</v>
      </c>
      <c r="H4" s="28">
        <v>136563.89662255396</v>
      </c>
      <c r="I4" s="34">
        <v>-0.23537562080291818</v>
      </c>
      <c r="J4" s="35">
        <v>18863.531297802328</v>
      </c>
      <c r="K4" s="30">
        <v>2.9729757758553639</v>
      </c>
      <c r="L4" s="33">
        <v>-9.1677143341821643E-2</v>
      </c>
      <c r="M4" s="31">
        <v>49.127298510187529</v>
      </c>
      <c r="N4" s="33">
        <v>-5.1984335059317099E-2</v>
      </c>
      <c r="P4" s="4" t="s">
        <v>34</v>
      </c>
      <c r="Q4" s="28">
        <v>136563.89662255396</v>
      </c>
      <c r="R4" s="26">
        <v>9.1925832437496044</v>
      </c>
    </row>
    <row r="5" spans="1:18" x14ac:dyDescent="0.2">
      <c r="A5" s="4">
        <v>60005010</v>
      </c>
      <c r="B5" s="4" t="s">
        <v>35</v>
      </c>
      <c r="C5" s="14" t="s">
        <v>79</v>
      </c>
      <c r="D5" s="32">
        <v>1277351.0706066135</v>
      </c>
      <c r="E5" s="26">
        <v>1.2466272560724267</v>
      </c>
      <c r="F5" s="26">
        <v>9.5956960181695603</v>
      </c>
      <c r="G5" s="33">
        <v>0.50826640970207237</v>
      </c>
      <c r="H5" s="28">
        <v>129915.25093249348</v>
      </c>
      <c r="I5" s="34">
        <v>-0.27260154001723758</v>
      </c>
      <c r="J5" s="35">
        <v>31951.334891255647</v>
      </c>
      <c r="K5" s="30">
        <v>2.980979941511984</v>
      </c>
      <c r="L5" s="33">
        <v>-8.9231658695282712E-2</v>
      </c>
      <c r="M5" s="31">
        <v>47.900952445045412</v>
      </c>
      <c r="N5" s="33">
        <v>-7.5649289486884652E-2</v>
      </c>
      <c r="P5" s="4" t="s">
        <v>35</v>
      </c>
      <c r="Q5" s="28">
        <v>129915.25093249348</v>
      </c>
      <c r="R5" s="26">
        <v>9.5956960181695603</v>
      </c>
    </row>
    <row r="6" spans="1:18" x14ac:dyDescent="0.2">
      <c r="A6" s="4">
        <v>60005010</v>
      </c>
      <c r="B6" s="4" t="s">
        <v>36</v>
      </c>
      <c r="C6" s="14" t="s">
        <v>79</v>
      </c>
      <c r="D6" s="32">
        <v>2191110.0264938013</v>
      </c>
      <c r="E6" s="26">
        <v>1.4859499634434614</v>
      </c>
      <c r="F6" s="26">
        <v>12.806894955323768</v>
      </c>
      <c r="G6" s="33">
        <v>1.0130076481291508</v>
      </c>
      <c r="H6" s="28">
        <v>116027.34063386369</v>
      </c>
      <c r="I6" s="34">
        <v>-0.35036026727283343</v>
      </c>
      <c r="J6" s="35">
        <v>59161.073620367853</v>
      </c>
      <c r="K6" s="30">
        <v>2.692395081529003</v>
      </c>
      <c r="L6" s="33">
        <v>-0.17740197832482085</v>
      </c>
      <c r="M6" s="31">
        <v>43.784455772074459</v>
      </c>
      <c r="N6" s="33">
        <v>-0.15508584409090809</v>
      </c>
      <c r="P6" s="4" t="s">
        <v>36</v>
      </c>
      <c r="Q6" s="28">
        <v>116027.34063386369</v>
      </c>
      <c r="R6" s="26">
        <v>12.806894955323768</v>
      </c>
    </row>
    <row r="7" spans="1:18" x14ac:dyDescent="0.2">
      <c r="A7" s="4">
        <v>60005010</v>
      </c>
      <c r="B7" s="4" t="s">
        <v>37</v>
      </c>
      <c r="C7" s="14" t="s">
        <v>79</v>
      </c>
      <c r="D7" s="32">
        <v>1843858.137148893</v>
      </c>
      <c r="E7" s="26">
        <v>1.4348143535628219</v>
      </c>
      <c r="F7" s="26">
        <v>11.664471325742749</v>
      </c>
      <c r="G7" s="33">
        <v>0.83343972696071189</v>
      </c>
      <c r="H7" s="28">
        <v>123007.23397521478</v>
      </c>
      <c r="I7" s="34">
        <v>-0.31127968488623647</v>
      </c>
      <c r="J7" s="35">
        <v>88592.416844918713</v>
      </c>
      <c r="K7" s="30">
        <v>2.8036817141129209</v>
      </c>
      <c r="L7" s="33">
        <v>-0.14340096397501167</v>
      </c>
      <c r="M7" s="31">
        <v>40.707865626938762</v>
      </c>
      <c r="N7" s="33">
        <v>-0.21445519149326808</v>
      </c>
      <c r="P7" s="4" t="s">
        <v>37</v>
      </c>
      <c r="Q7" s="28">
        <v>123007.23397521478</v>
      </c>
      <c r="R7" s="26">
        <v>11.664471325742749</v>
      </c>
    </row>
    <row r="8" spans="1:18" x14ac:dyDescent="0.2">
      <c r="A8" s="4">
        <v>60005010</v>
      </c>
      <c r="B8" s="4" t="s">
        <v>38</v>
      </c>
      <c r="C8" s="14" t="s">
        <v>79</v>
      </c>
      <c r="D8" s="32">
        <v>1872201.5589075168</v>
      </c>
      <c r="E8" s="26">
        <v>1.6322938752284781</v>
      </c>
      <c r="F8" s="26">
        <v>12.895410567700505</v>
      </c>
      <c r="G8" s="33">
        <v>1.0269206696159974</v>
      </c>
      <c r="H8" s="28">
        <v>126579.44209368022</v>
      </c>
      <c r="I8" s="34">
        <v>-0.29127880996617139</v>
      </c>
      <c r="J8" s="35">
        <v>91451.975200294168</v>
      </c>
      <c r="K8" s="30">
        <v>2.8654919480058556</v>
      </c>
      <c r="L8" s="33">
        <v>-0.12451630010512615</v>
      </c>
      <c r="M8" s="31">
        <v>40.385215581910089</v>
      </c>
      <c r="N8" s="33">
        <v>-0.22068141003686603</v>
      </c>
      <c r="P8" s="4" t="s">
        <v>38</v>
      </c>
      <c r="Q8" s="28">
        <v>126579.44209368022</v>
      </c>
      <c r="R8" s="26">
        <v>12.895410567700505</v>
      </c>
    </row>
    <row r="9" spans="1:18" x14ac:dyDescent="0.2">
      <c r="A9" s="4">
        <v>60005010</v>
      </c>
      <c r="B9" s="4" t="s">
        <v>39</v>
      </c>
      <c r="C9" s="14" t="s">
        <v>79</v>
      </c>
      <c r="D9" s="32">
        <v>1747743.0997069452</v>
      </c>
      <c r="E9" s="26">
        <v>1.4191949507480754</v>
      </c>
      <c r="F9" s="26">
        <v>11.362944299598764</v>
      </c>
      <c r="G9" s="33">
        <v>0.78604524048581803</v>
      </c>
      <c r="H9" s="28">
        <v>124896.76208288626</v>
      </c>
      <c r="I9" s="34">
        <v>-0.3007001738146029</v>
      </c>
      <c r="J9" s="35">
        <v>136261.24738885849</v>
      </c>
      <c r="K9" s="30">
        <v>3.1</v>
      </c>
      <c r="L9" s="33">
        <v>-5.2867877865499846E-2</v>
      </c>
      <c r="M9" s="31">
        <v>36.473414854803629</v>
      </c>
      <c r="N9" s="33">
        <v>-0.2961679212003947</v>
      </c>
      <c r="P9" s="4" t="s">
        <v>39</v>
      </c>
      <c r="Q9" s="28">
        <v>124896.76208288626</v>
      </c>
      <c r="R9" s="26">
        <v>11.362944299598764</v>
      </c>
    </row>
    <row r="10" spans="1:18" x14ac:dyDescent="0.2">
      <c r="A10" s="4">
        <v>60005010</v>
      </c>
      <c r="B10" s="4" t="s">
        <v>40</v>
      </c>
      <c r="C10" s="14" t="s">
        <v>79</v>
      </c>
      <c r="D10" s="32">
        <v>1972725.4151736449</v>
      </c>
      <c r="E10" s="26">
        <v>1.3874956001294774</v>
      </c>
      <c r="F10" s="26">
        <v>11.714867457574567</v>
      </c>
      <c r="G10" s="33">
        <v>0.84136106926635823</v>
      </c>
      <c r="H10" s="28">
        <v>118438.8645585874</v>
      </c>
      <c r="I10" s="34">
        <v>-0.33685808968810094</v>
      </c>
      <c r="J10" s="35">
        <v>158778.06834526596</v>
      </c>
      <c r="K10" s="30">
        <v>3.1892939323955485</v>
      </c>
      <c r="L10" s="33">
        <v>-2.5586216032102871E-2</v>
      </c>
      <c r="M10" s="31">
        <v>34.034240031783391</v>
      </c>
      <c r="N10" s="33">
        <v>-0.34323698487530008</v>
      </c>
      <c r="P10" s="4" t="s">
        <v>40</v>
      </c>
      <c r="Q10" s="28">
        <v>118438.8645585874</v>
      </c>
      <c r="R10" s="26">
        <v>11.714867457574567</v>
      </c>
    </row>
    <row r="11" spans="1:18" x14ac:dyDescent="0.2">
      <c r="A11" s="4">
        <v>60005010</v>
      </c>
      <c r="B11" s="4" t="s">
        <v>41</v>
      </c>
      <c r="C11" s="14" t="s">
        <v>79</v>
      </c>
      <c r="D11" s="32">
        <v>1807292.0193794155</v>
      </c>
      <c r="E11" s="26">
        <v>1.3299820556823443</v>
      </c>
      <c r="F11" s="26">
        <v>10.922476552134762</v>
      </c>
      <c r="G11" s="33">
        <v>0.71681183555102757</v>
      </c>
      <c r="H11" s="28">
        <v>121765.61325942179</v>
      </c>
      <c r="I11" s="34">
        <v>-0.31823154765883599</v>
      </c>
      <c r="J11" s="35">
        <v>172632.9184860914</v>
      </c>
      <c r="K11" s="30">
        <v>3.1574208841019669</v>
      </c>
      <c r="L11" s="33">
        <v>-3.5324276635069207E-2</v>
      </c>
      <c r="M11" s="31">
        <v>33.040352730875078</v>
      </c>
      <c r="N11" s="33">
        <v>-0.36241615326070009</v>
      </c>
      <c r="P11" s="4" t="s">
        <v>41</v>
      </c>
      <c r="Q11" s="28">
        <v>121765.61325942179</v>
      </c>
      <c r="R11" s="26">
        <v>10.922476552134762</v>
      </c>
    </row>
    <row r="12" spans="1:18" x14ac:dyDescent="0.2">
      <c r="A12" s="4">
        <v>60005010</v>
      </c>
      <c r="B12" s="4" t="s">
        <v>42</v>
      </c>
      <c r="C12" s="14" t="s">
        <v>79</v>
      </c>
      <c r="D12" s="32">
        <v>2117159.5716085769</v>
      </c>
      <c r="E12" s="26">
        <v>1.3386983241584749</v>
      </c>
      <c r="F12" s="26">
        <v>11.507169367426698</v>
      </c>
      <c r="G12" s="33">
        <v>0.80871476074052184</v>
      </c>
      <c r="H12" s="28">
        <v>116336.0233445354</v>
      </c>
      <c r="I12" s="34">
        <v>-0.34863194571894152</v>
      </c>
      <c r="J12" s="35">
        <v>154129.90590654471</v>
      </c>
      <c r="K12" s="30">
        <v>3.210974591185396</v>
      </c>
      <c r="L12" s="33">
        <v>-1.8962200429231246E-2</v>
      </c>
      <c r="M12" s="31">
        <v>35.576181783354215</v>
      </c>
      <c r="N12" s="33">
        <v>-0.31348194075024838</v>
      </c>
      <c r="P12" s="4" t="s">
        <v>42</v>
      </c>
      <c r="Q12" s="28">
        <v>116336.0233445354</v>
      </c>
      <c r="R12" s="26">
        <v>11.507169367426698</v>
      </c>
    </row>
    <row r="13" spans="1:18" x14ac:dyDescent="0.2">
      <c r="A13" s="4">
        <v>60005010</v>
      </c>
      <c r="B13" s="4" t="s">
        <v>43</v>
      </c>
      <c r="C13" s="14" t="s">
        <v>79</v>
      </c>
      <c r="D13" s="32">
        <v>2268189.2529313252</v>
      </c>
      <c r="E13" s="26">
        <v>1.3738469984910826</v>
      </c>
      <c r="F13" s="26">
        <v>11.781554506941113</v>
      </c>
      <c r="G13" s="33">
        <v>0.85184304330255656</v>
      </c>
      <c r="H13" s="28">
        <v>116609.99384093835</v>
      </c>
      <c r="I13" s="34">
        <v>-0.34709797864630143</v>
      </c>
      <c r="J13" s="35">
        <v>199645.99764687967</v>
      </c>
      <c r="K13" s="30">
        <v>3.1388703548178092</v>
      </c>
      <c r="L13" s="33">
        <v>-4.0991954753657023E-2</v>
      </c>
      <c r="M13" s="31">
        <v>31.340225107533701</v>
      </c>
      <c r="N13" s="33">
        <v>-0.39522373007039924</v>
      </c>
      <c r="P13" s="4" t="s">
        <v>43</v>
      </c>
      <c r="Q13" s="28">
        <v>116609.99384093835</v>
      </c>
      <c r="R13" s="26">
        <v>11.781554506941113</v>
      </c>
    </row>
    <row r="14" spans="1:18" x14ac:dyDescent="0.2">
      <c r="A14" s="4">
        <v>60005010</v>
      </c>
      <c r="B14" s="4" t="s">
        <v>44</v>
      </c>
      <c r="C14" s="14" t="s">
        <v>79</v>
      </c>
      <c r="D14" s="32">
        <v>2283735.8442508187</v>
      </c>
      <c r="E14" s="26">
        <v>1.4776294353266457</v>
      </c>
      <c r="F14" s="26">
        <v>12.393752758505508</v>
      </c>
      <c r="G14" s="33">
        <v>0.94806931570265429</v>
      </c>
      <c r="H14" s="28">
        <v>119223.73022267909</v>
      </c>
      <c r="I14" s="34">
        <v>-0.33246360889192172</v>
      </c>
      <c r="J14" s="35">
        <v>219062.63312673813</v>
      </c>
      <c r="K14" s="30">
        <v>3.396528925619835</v>
      </c>
      <c r="L14" s="33">
        <v>3.7729564262428461E-2</v>
      </c>
      <c r="M14" s="31">
        <v>31.037538548793023</v>
      </c>
      <c r="N14" s="33">
        <v>-0.40106471070550676</v>
      </c>
      <c r="P14" s="4" t="s">
        <v>44</v>
      </c>
      <c r="Q14" s="28">
        <v>119223.73022267909</v>
      </c>
      <c r="R14" s="26">
        <v>12.393752758505508</v>
      </c>
    </row>
    <row r="15" spans="1:18" x14ac:dyDescent="0.2">
      <c r="A15" s="4">
        <v>60005010</v>
      </c>
      <c r="B15" s="4" t="s">
        <v>45</v>
      </c>
      <c r="C15" s="14" t="s">
        <v>79</v>
      </c>
      <c r="D15" s="32">
        <v>2207555.6284578089</v>
      </c>
      <c r="E15" s="26">
        <v>1.3899617235056603</v>
      </c>
      <c r="F15" s="26">
        <v>11.765449701388002</v>
      </c>
      <c r="G15" s="33">
        <v>0.84931166494245147</v>
      </c>
      <c r="H15" s="28">
        <v>118139.27718731249</v>
      </c>
      <c r="I15" s="34">
        <v>-0.33853548622878027</v>
      </c>
      <c r="J15" s="35">
        <v>239540.29803964941</v>
      </c>
      <c r="K15" s="30">
        <v>3.7830349272281887</v>
      </c>
      <c r="L15" s="33">
        <v>0.15581738668857059</v>
      </c>
      <c r="M15" s="31">
        <v>31.41663632174426</v>
      </c>
      <c r="N15" s="33">
        <v>-0.39374921324888656</v>
      </c>
      <c r="P15" s="4" t="s">
        <v>45</v>
      </c>
      <c r="Q15" s="28">
        <v>118139.27718731249</v>
      </c>
      <c r="R15" s="26">
        <v>11.765449701388002</v>
      </c>
    </row>
    <row r="16" spans="1:18" x14ac:dyDescent="0.2">
      <c r="A16" s="4">
        <v>60005010</v>
      </c>
      <c r="B16" s="4" t="s">
        <v>46</v>
      </c>
      <c r="C16" s="14" t="s">
        <v>79</v>
      </c>
      <c r="D16" s="32">
        <v>2674876.79354335</v>
      </c>
      <c r="E16" s="26">
        <v>1.2071621643395065</v>
      </c>
      <c r="F16" s="26">
        <v>11.585123468839635</v>
      </c>
      <c r="G16" s="33">
        <v>0.82096770752385173</v>
      </c>
      <c r="H16" s="28">
        <v>104199.33525839374</v>
      </c>
      <c r="I16" s="34">
        <v>-0.41658553977186674</v>
      </c>
      <c r="J16" s="35">
        <v>226907.56644196683</v>
      </c>
      <c r="K16" s="30">
        <v>3.6107548962237281</v>
      </c>
      <c r="L16" s="33">
        <v>0.10318127334448923</v>
      </c>
      <c r="M16" s="31">
        <v>31.570499579467711</v>
      </c>
      <c r="N16" s="33">
        <v>-0.39078009459176377</v>
      </c>
      <c r="P16" s="4" t="s">
        <v>46</v>
      </c>
      <c r="Q16" s="28">
        <v>104199.33525839374</v>
      </c>
      <c r="R16" s="26">
        <v>11.585123468839635</v>
      </c>
    </row>
    <row r="17" spans="1:18" x14ac:dyDescent="0.2">
      <c r="A17" s="4">
        <v>60005010</v>
      </c>
      <c r="B17" s="4" t="s">
        <v>80</v>
      </c>
      <c r="C17" s="14" t="s">
        <v>79</v>
      </c>
      <c r="D17" s="32">
        <v>2858710.2315271674</v>
      </c>
      <c r="E17" s="26">
        <v>1.1113433821962473</v>
      </c>
      <c r="F17" s="26">
        <v>11.187409481383407</v>
      </c>
      <c r="G17" s="33">
        <v>0.75845440501686712</v>
      </c>
      <c r="H17" s="28">
        <v>99338.759705327364</v>
      </c>
      <c r="I17" s="34">
        <v>-0.44380001341182074</v>
      </c>
      <c r="J17" s="35">
        <v>238925.07033166059</v>
      </c>
      <c r="K17" s="30">
        <v>3.8787064412436827</v>
      </c>
      <c r="L17" s="33">
        <v>0.18504756865544647</v>
      </c>
      <c r="M17" s="31">
        <v>32.71345044840205</v>
      </c>
      <c r="N17" s="33">
        <v>-0.36872442776565839</v>
      </c>
      <c r="P17" s="4" t="s">
        <v>80</v>
      </c>
      <c r="Q17" s="28">
        <v>99339</v>
      </c>
      <c r="R17" s="26">
        <v>11.19</v>
      </c>
    </row>
    <row r="18" spans="1:18" x14ac:dyDescent="0.2">
      <c r="A18" s="4">
        <v>60005010</v>
      </c>
      <c r="B18" s="4" t="s">
        <v>48</v>
      </c>
      <c r="C18" s="14" t="s">
        <v>79</v>
      </c>
      <c r="D18" s="32">
        <v>0</v>
      </c>
      <c r="E18" s="26">
        <v>0</v>
      </c>
      <c r="F18" s="26">
        <v>0</v>
      </c>
      <c r="G18" s="33">
        <v>0</v>
      </c>
      <c r="H18" s="28">
        <v>0</v>
      </c>
      <c r="I18" s="34">
        <v>0</v>
      </c>
      <c r="J18" s="35">
        <v>0</v>
      </c>
      <c r="K18" s="30">
        <v>0</v>
      </c>
      <c r="L18" s="33">
        <v>0</v>
      </c>
      <c r="M18" s="31">
        <v>0</v>
      </c>
      <c r="N18" s="33">
        <v>0</v>
      </c>
    </row>
    <row r="19" spans="1:18" x14ac:dyDescent="0.2">
      <c r="A19" s="4">
        <v>60005010</v>
      </c>
      <c r="B19" s="4" t="s">
        <v>49</v>
      </c>
      <c r="C19" s="14" t="s">
        <v>79</v>
      </c>
      <c r="D19" s="32">
        <v>0</v>
      </c>
      <c r="E19" s="26">
        <v>0</v>
      </c>
      <c r="F19" s="26">
        <v>0</v>
      </c>
      <c r="G19" s="33">
        <v>0</v>
      </c>
      <c r="H19" s="28">
        <v>0</v>
      </c>
      <c r="I19" s="34">
        <v>0</v>
      </c>
      <c r="J19" s="35">
        <v>0</v>
      </c>
      <c r="K19" s="30">
        <v>0</v>
      </c>
      <c r="L19" s="33">
        <v>0</v>
      </c>
      <c r="M19" s="31">
        <v>0</v>
      </c>
      <c r="N19" s="33">
        <v>0</v>
      </c>
    </row>
    <row r="20" spans="1:18" x14ac:dyDescent="0.2">
      <c r="A20" s="4">
        <v>60005010</v>
      </c>
      <c r="B20" s="4" t="s">
        <v>50</v>
      </c>
      <c r="C20" s="14" t="s">
        <v>79</v>
      </c>
      <c r="D20" s="32">
        <v>0</v>
      </c>
      <c r="E20" s="26">
        <v>0</v>
      </c>
      <c r="F20" s="26">
        <v>0</v>
      </c>
      <c r="G20" s="33">
        <v>0</v>
      </c>
      <c r="H20" s="28">
        <v>0</v>
      </c>
      <c r="I20" s="34">
        <v>0</v>
      </c>
      <c r="J20" s="35">
        <v>0</v>
      </c>
      <c r="K20" s="30">
        <v>0</v>
      </c>
      <c r="L20" s="33">
        <v>0</v>
      </c>
      <c r="M20" s="31">
        <v>0</v>
      </c>
      <c r="N20" s="33">
        <v>0</v>
      </c>
    </row>
    <row r="21" spans="1:18" x14ac:dyDescent="0.2">
      <c r="A21" s="4">
        <v>60005010</v>
      </c>
      <c r="B21" s="4" t="s">
        <v>51</v>
      </c>
      <c r="C21" s="14" t="s">
        <v>79</v>
      </c>
      <c r="D21" s="32">
        <v>0</v>
      </c>
      <c r="E21" s="26">
        <v>0</v>
      </c>
      <c r="F21" s="26">
        <v>0</v>
      </c>
      <c r="G21" s="33">
        <v>0</v>
      </c>
      <c r="H21" s="28">
        <v>0</v>
      </c>
      <c r="I21" s="34">
        <v>0</v>
      </c>
      <c r="J21" s="35">
        <v>0</v>
      </c>
      <c r="K21" s="30">
        <v>0</v>
      </c>
      <c r="L21" s="33">
        <v>0</v>
      </c>
      <c r="M21" s="31">
        <v>0</v>
      </c>
      <c r="N21" s="33">
        <v>0</v>
      </c>
    </row>
    <row r="22" spans="1:18" x14ac:dyDescent="0.2">
      <c r="A22" s="4">
        <v>60005010</v>
      </c>
      <c r="B22" s="4" t="s">
        <v>52</v>
      </c>
      <c r="C22" s="14" t="s">
        <v>79</v>
      </c>
      <c r="D22" s="32">
        <v>0</v>
      </c>
      <c r="E22" s="26">
        <v>0</v>
      </c>
      <c r="F22" s="26">
        <v>0</v>
      </c>
      <c r="G22" s="33">
        <v>0</v>
      </c>
      <c r="H22" s="28">
        <v>0</v>
      </c>
      <c r="I22" s="34">
        <v>0</v>
      </c>
      <c r="J22" s="35">
        <v>0</v>
      </c>
      <c r="K22" s="30">
        <v>0</v>
      </c>
      <c r="L22" s="33">
        <v>0</v>
      </c>
      <c r="M22" s="31">
        <v>0</v>
      </c>
      <c r="N22" s="33">
        <v>0</v>
      </c>
    </row>
    <row r="23" spans="1:18" x14ac:dyDescent="0.2">
      <c r="A23" s="4">
        <v>60005010</v>
      </c>
      <c r="B23" s="4" t="s">
        <v>53</v>
      </c>
      <c r="C23" s="14" t="s">
        <v>79</v>
      </c>
      <c r="D23" s="32">
        <v>0</v>
      </c>
      <c r="E23" s="26">
        <v>0</v>
      </c>
      <c r="F23" s="26">
        <v>0</v>
      </c>
      <c r="G23" s="33">
        <v>0</v>
      </c>
      <c r="H23" s="28">
        <v>0</v>
      </c>
      <c r="I23" s="34">
        <v>0</v>
      </c>
      <c r="J23" s="35">
        <v>0</v>
      </c>
      <c r="K23" s="30">
        <v>0</v>
      </c>
      <c r="L23" s="33">
        <v>0</v>
      </c>
      <c r="M23" s="31">
        <v>0</v>
      </c>
      <c r="N23" s="33">
        <v>0</v>
      </c>
    </row>
    <row r="24" spans="1:18" x14ac:dyDescent="0.2">
      <c r="A24" s="4">
        <v>60005010</v>
      </c>
      <c r="B24" s="4" t="s">
        <v>54</v>
      </c>
      <c r="C24" s="14" t="s">
        <v>79</v>
      </c>
      <c r="D24" s="32">
        <v>0</v>
      </c>
      <c r="E24" s="26">
        <v>0</v>
      </c>
      <c r="F24" s="26">
        <v>0</v>
      </c>
      <c r="G24" s="33">
        <v>0</v>
      </c>
      <c r="H24" s="28">
        <v>0</v>
      </c>
      <c r="I24" s="34">
        <v>0</v>
      </c>
      <c r="J24" s="35">
        <v>0</v>
      </c>
      <c r="K24" s="30">
        <v>0</v>
      </c>
      <c r="L24" s="33">
        <v>0</v>
      </c>
      <c r="M24" s="31">
        <v>0</v>
      </c>
      <c r="N24" s="33">
        <v>0</v>
      </c>
    </row>
    <row r="25" spans="1:18" x14ac:dyDescent="0.2">
      <c r="A25" s="4">
        <v>60005010</v>
      </c>
      <c r="B25" s="4" t="s">
        <v>55</v>
      </c>
      <c r="C25" s="14" t="s">
        <v>79</v>
      </c>
      <c r="D25" s="32">
        <v>0</v>
      </c>
      <c r="E25" s="26">
        <v>0</v>
      </c>
      <c r="F25" s="26">
        <v>0</v>
      </c>
      <c r="G25" s="33">
        <v>0</v>
      </c>
      <c r="H25" s="28">
        <v>0</v>
      </c>
      <c r="I25" s="34">
        <v>0</v>
      </c>
      <c r="J25" s="35">
        <v>0</v>
      </c>
      <c r="K25" s="30">
        <v>0</v>
      </c>
      <c r="L25" s="33">
        <v>0</v>
      </c>
      <c r="M25" s="31">
        <v>0</v>
      </c>
      <c r="N25" s="33">
        <v>0</v>
      </c>
    </row>
  </sheetData>
  <mergeCells count="2">
    <mergeCell ref="D1:I1"/>
    <mergeCell ref="J1:N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Z176"/>
  <sheetViews>
    <sheetView workbookViewId="0">
      <selection activeCell="T39" sqref="T39"/>
    </sheetView>
  </sheetViews>
  <sheetFormatPr defaultRowHeight="12.75" x14ac:dyDescent="0.2"/>
  <cols>
    <col min="1" max="1" width="8.28515625" style="44" customWidth="1"/>
    <col min="2" max="2" width="9.42578125" style="44" customWidth="1"/>
    <col min="3" max="3" width="20.42578125" bestFit="1" customWidth="1"/>
    <col min="4" max="4" width="10.42578125" customWidth="1"/>
    <col min="5" max="5" width="11" customWidth="1"/>
    <col min="6" max="6" width="14" bestFit="1" customWidth="1"/>
    <col min="7" max="7" width="11.28515625" customWidth="1"/>
    <col min="8" max="8" width="9.5703125" bestFit="1" customWidth="1"/>
    <col min="9" max="9" width="8.7109375" bestFit="1" customWidth="1"/>
    <col min="10" max="10" width="9" customWidth="1"/>
    <col min="11" max="11" width="8.85546875" bestFit="1" customWidth="1"/>
    <col min="12" max="12" width="8.7109375" customWidth="1"/>
    <col min="13" max="13" width="8" bestFit="1" customWidth="1"/>
    <col min="14" max="14" width="8.7109375" bestFit="1" customWidth="1"/>
    <col min="15" max="15" width="7.85546875" bestFit="1" customWidth="1"/>
    <col min="16" max="16" width="8.7109375" bestFit="1" customWidth="1"/>
    <col min="17" max="17" width="5.5703125" customWidth="1"/>
    <col min="18" max="18" width="5.7109375" customWidth="1"/>
    <col min="19" max="19" width="5.85546875" customWidth="1"/>
    <col min="20" max="24" width="6.140625" customWidth="1"/>
    <col min="25" max="25" width="8.7109375" bestFit="1" customWidth="1"/>
    <col min="26" max="26" width="9.5703125" bestFit="1" customWidth="1"/>
    <col min="27" max="27" width="9" customWidth="1"/>
    <col min="28" max="28" width="9.5703125" bestFit="1" customWidth="1"/>
    <col min="29" max="29" width="9.28515625" bestFit="1" customWidth="1"/>
    <col min="30" max="30" width="10.140625" customWidth="1"/>
    <col min="31" max="31" width="9.140625" customWidth="1"/>
    <col min="32" max="32" width="12.5703125" customWidth="1"/>
    <col min="33" max="33" width="9.5703125" bestFit="1" customWidth="1"/>
    <col min="36" max="36" width="9.5703125" bestFit="1" customWidth="1"/>
    <col min="37" max="37" width="8" bestFit="1" customWidth="1"/>
  </cols>
  <sheetData>
    <row r="1" spans="1:48" ht="22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3" t="s">
        <v>16</v>
      </c>
      <c r="R1" s="1" t="s">
        <v>17</v>
      </c>
      <c r="S1" s="3" t="s">
        <v>18</v>
      </c>
      <c r="T1" s="1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1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</row>
    <row r="2" spans="1:48" s="14" customFormat="1" ht="11.25" customHeight="1" x14ac:dyDescent="0.2">
      <c r="A2" s="4">
        <v>60005010</v>
      </c>
      <c r="B2" s="5" t="s">
        <v>32</v>
      </c>
      <c r="C2" s="6" t="s">
        <v>33</v>
      </c>
      <c r="D2" s="7">
        <f>E2+Z2</f>
        <v>3075813.4199999995</v>
      </c>
      <c r="E2" s="7">
        <f>H2+J2+L2+N2+P2+R2+T2+V2+X2</f>
        <v>2676319.4199999995</v>
      </c>
      <c r="F2" s="8">
        <f>((G2*3412)+(I2*100000)+(K2*138690)+(M2*149690)+(O2*91647.6)+(Q2*25090000)+(S2*15380000)+((U2*AD2)*1194000)+((W2*AE2)*3412))-AF2</f>
        <v>420668044837.59998</v>
      </c>
      <c r="G2" s="9">
        <v>34665600</v>
      </c>
      <c r="H2" s="7">
        <v>1604515</v>
      </c>
      <c r="I2" s="9">
        <v>1444810</v>
      </c>
      <c r="J2" s="7">
        <v>111053</v>
      </c>
      <c r="K2" s="9">
        <v>47971</v>
      </c>
      <c r="L2" s="7">
        <v>51114.39</v>
      </c>
      <c r="M2" s="9">
        <v>996969</v>
      </c>
      <c r="N2" s="7">
        <v>888599</v>
      </c>
      <c r="O2" s="9">
        <v>22026</v>
      </c>
      <c r="P2" s="10">
        <v>21038.03</v>
      </c>
      <c r="Q2" s="9">
        <v>0</v>
      </c>
      <c r="R2" s="7">
        <v>0</v>
      </c>
      <c r="S2" s="9">
        <v>0</v>
      </c>
      <c r="T2" s="7">
        <v>0</v>
      </c>
      <c r="U2" s="9">
        <v>0</v>
      </c>
      <c r="V2" s="7">
        <v>0</v>
      </c>
      <c r="W2" s="9">
        <v>0</v>
      </c>
      <c r="X2" s="7">
        <v>0</v>
      </c>
      <c r="Y2" s="9">
        <v>122056</v>
      </c>
      <c r="Z2" s="7">
        <v>399494</v>
      </c>
      <c r="AA2" s="9">
        <v>2355330</v>
      </c>
      <c r="AB2" s="9">
        <v>0</v>
      </c>
      <c r="AC2" s="11">
        <v>0</v>
      </c>
      <c r="AD2" s="12">
        <v>1</v>
      </c>
      <c r="AE2" s="12">
        <v>1</v>
      </c>
      <c r="AF2" s="13">
        <v>0</v>
      </c>
    </row>
    <row r="3" spans="1:48" s="14" customFormat="1" ht="11.25" x14ac:dyDescent="0.2">
      <c r="A3" s="4">
        <v>60005010</v>
      </c>
      <c r="B3" s="15" t="s">
        <v>34</v>
      </c>
      <c r="C3" s="6" t="s">
        <v>33</v>
      </c>
      <c r="D3" s="7">
        <f t="shared" ref="D3:D24" si="0">E3+Z3</f>
        <v>3300828.37</v>
      </c>
      <c r="E3" s="7">
        <f t="shared" ref="E3:E24" si="1">H3+J3+L3+N3+P3+R3+T3+V3+X3</f>
        <v>2956822.37</v>
      </c>
      <c r="F3" s="9">
        <f t="shared" ref="F3:F24" si="2">((G3*3412)+(I3*100000)+(K3*138690)+(M3*149690)+(O3*91647.6)+(Q3*25090000)+(S3*15380000)+((U3*AD3)*1194000)+((W3*AE3)*3412))-AF3</f>
        <v>321653042632</v>
      </c>
      <c r="G3" s="9">
        <v>37039200</v>
      </c>
      <c r="H3" s="7">
        <v>1747534</v>
      </c>
      <c r="I3" s="9">
        <v>1606150</v>
      </c>
      <c r="J3" s="7">
        <v>975042.48</v>
      </c>
      <c r="K3" s="9">
        <v>45498</v>
      </c>
      <c r="L3" s="7">
        <v>52605.89</v>
      </c>
      <c r="M3" s="9">
        <v>171870</v>
      </c>
      <c r="N3" s="7">
        <v>153188</v>
      </c>
      <c r="O3" s="9">
        <v>28620</v>
      </c>
      <c r="P3" s="10">
        <v>28452</v>
      </c>
      <c r="Q3" s="9">
        <v>0</v>
      </c>
      <c r="R3" s="7">
        <v>0</v>
      </c>
      <c r="S3" s="9">
        <v>0</v>
      </c>
      <c r="T3" s="7">
        <v>0</v>
      </c>
      <c r="U3" s="9">
        <v>0</v>
      </c>
      <c r="V3" s="7">
        <v>0</v>
      </c>
      <c r="W3" s="9">
        <v>0</v>
      </c>
      <c r="X3" s="7">
        <v>0</v>
      </c>
      <c r="Y3" s="9">
        <v>115711</v>
      </c>
      <c r="Z3" s="7">
        <v>344006</v>
      </c>
      <c r="AA3" s="9">
        <v>2355330</v>
      </c>
      <c r="AB3" s="9">
        <v>0</v>
      </c>
      <c r="AC3" s="11">
        <v>0</v>
      </c>
      <c r="AD3" s="12">
        <v>1</v>
      </c>
      <c r="AE3" s="12">
        <v>1</v>
      </c>
      <c r="AF3" s="13">
        <v>0</v>
      </c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s="14" customFormat="1" ht="11.25" x14ac:dyDescent="0.2">
      <c r="A4" s="4">
        <v>60005010</v>
      </c>
      <c r="B4" s="15" t="s">
        <v>35</v>
      </c>
      <c r="C4" s="6" t="s">
        <v>33</v>
      </c>
      <c r="D4" s="7">
        <f t="shared" si="0"/>
        <v>3798839.76</v>
      </c>
      <c r="E4" s="7">
        <f t="shared" si="1"/>
        <v>3408429.76</v>
      </c>
      <c r="F4" s="9">
        <f t="shared" si="2"/>
        <v>355204015794.79999</v>
      </c>
      <c r="G4" s="9">
        <v>41841570</v>
      </c>
      <c r="H4" s="7">
        <v>2013292</v>
      </c>
      <c r="I4" s="9">
        <v>1444806</v>
      </c>
      <c r="J4" s="7">
        <v>930263.64</v>
      </c>
      <c r="K4" s="9">
        <v>55712</v>
      </c>
      <c r="L4" s="7">
        <v>82939.03</v>
      </c>
      <c r="M4" s="9">
        <v>389041</v>
      </c>
      <c r="N4" s="7">
        <v>360080.42</v>
      </c>
      <c r="O4" s="9">
        <v>21798</v>
      </c>
      <c r="P4" s="10">
        <v>21854.67</v>
      </c>
      <c r="Q4" s="9">
        <v>0</v>
      </c>
      <c r="R4" s="7">
        <v>0</v>
      </c>
      <c r="S4" s="9">
        <v>0</v>
      </c>
      <c r="T4" s="7">
        <v>0</v>
      </c>
      <c r="U4" s="9">
        <v>0</v>
      </c>
      <c r="V4" s="7">
        <v>0</v>
      </c>
      <c r="W4" s="9">
        <v>0</v>
      </c>
      <c r="X4" s="7">
        <v>0</v>
      </c>
      <c r="Y4" s="9">
        <v>130967</v>
      </c>
      <c r="Z4" s="7">
        <v>390410</v>
      </c>
      <c r="AA4" s="9">
        <v>2734121</v>
      </c>
      <c r="AB4" s="9">
        <v>85586</v>
      </c>
      <c r="AC4" s="9">
        <v>0</v>
      </c>
      <c r="AD4" s="12">
        <v>1</v>
      </c>
      <c r="AE4" s="12">
        <v>1</v>
      </c>
      <c r="AF4" s="13">
        <v>0</v>
      </c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1:48" s="14" customFormat="1" ht="11.25" x14ac:dyDescent="0.2">
      <c r="A5" s="4">
        <v>60005010</v>
      </c>
      <c r="B5" s="15" t="s">
        <v>36</v>
      </c>
      <c r="C5" s="6" t="s">
        <v>33</v>
      </c>
      <c r="D5" s="7">
        <f t="shared" si="0"/>
        <v>4385079</v>
      </c>
      <c r="E5" s="7">
        <f t="shared" si="1"/>
        <v>4062767</v>
      </c>
      <c r="F5" s="9">
        <f t="shared" si="2"/>
        <v>317232788601.20001</v>
      </c>
      <c r="G5" s="9">
        <v>43963200</v>
      </c>
      <c r="H5" s="7">
        <v>2228582</v>
      </c>
      <c r="I5" s="9">
        <v>448967</v>
      </c>
      <c r="J5" s="7">
        <v>720873</v>
      </c>
      <c r="K5" s="9">
        <v>33921</v>
      </c>
      <c r="L5" s="7">
        <v>64917</v>
      </c>
      <c r="M5" s="9">
        <v>770367</v>
      </c>
      <c r="N5" s="7">
        <v>1016520</v>
      </c>
      <c r="O5" s="9">
        <v>25237</v>
      </c>
      <c r="P5" s="10">
        <v>31875</v>
      </c>
      <c r="Q5" s="9">
        <v>0</v>
      </c>
      <c r="R5" s="7">
        <v>0</v>
      </c>
      <c r="S5" s="9">
        <v>0</v>
      </c>
      <c r="T5" s="7">
        <v>0</v>
      </c>
      <c r="U5" s="9">
        <v>0</v>
      </c>
      <c r="V5" s="7">
        <v>0</v>
      </c>
      <c r="W5" s="9">
        <v>0</v>
      </c>
      <c r="X5" s="7">
        <v>0</v>
      </c>
      <c r="Y5" s="9">
        <v>119712</v>
      </c>
      <c r="Z5" s="7">
        <v>322312</v>
      </c>
      <c r="AA5" s="9">
        <v>2734121</v>
      </c>
      <c r="AB5" s="9">
        <v>14655</v>
      </c>
      <c r="AC5" s="9">
        <v>0</v>
      </c>
      <c r="AD5" s="12">
        <v>1</v>
      </c>
      <c r="AE5" s="12">
        <v>1</v>
      </c>
      <c r="AF5" s="13">
        <v>0</v>
      </c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48" s="14" customFormat="1" ht="11.25" x14ac:dyDescent="0.2">
      <c r="A6" s="4">
        <v>60005010</v>
      </c>
      <c r="B6" s="15" t="s">
        <v>37</v>
      </c>
      <c r="C6" s="6" t="s">
        <v>33</v>
      </c>
      <c r="D6" s="7">
        <f t="shared" si="0"/>
        <v>4404131.2700000005</v>
      </c>
      <c r="E6" s="7">
        <f t="shared" si="1"/>
        <v>4079619.1300000004</v>
      </c>
      <c r="F6" s="9">
        <f t="shared" si="2"/>
        <v>349747452419.59998</v>
      </c>
      <c r="G6" s="9">
        <v>42259200</v>
      </c>
      <c r="H6" s="7">
        <v>2324088.12</v>
      </c>
      <c r="I6" s="9">
        <v>1764777</v>
      </c>
      <c r="J6" s="7">
        <v>1447793.77</v>
      </c>
      <c r="K6" s="9">
        <v>32634</v>
      </c>
      <c r="L6" s="7">
        <v>62223.73</v>
      </c>
      <c r="M6" s="9">
        <v>146809</v>
      </c>
      <c r="N6" s="7">
        <v>210092.7</v>
      </c>
      <c r="O6" s="9">
        <v>28146</v>
      </c>
      <c r="P6" s="10">
        <v>35420.81</v>
      </c>
      <c r="Q6" s="9">
        <v>0</v>
      </c>
      <c r="R6" s="7">
        <v>0</v>
      </c>
      <c r="S6" s="9">
        <v>0</v>
      </c>
      <c r="T6" s="7">
        <v>0</v>
      </c>
      <c r="U6" s="9">
        <v>0</v>
      </c>
      <c r="V6" s="7">
        <v>0</v>
      </c>
      <c r="W6" s="9">
        <v>0</v>
      </c>
      <c r="X6" s="7">
        <v>0</v>
      </c>
      <c r="Y6" s="9">
        <v>115745</v>
      </c>
      <c r="Z6" s="7">
        <v>324512.14</v>
      </c>
      <c r="AA6" s="9">
        <v>2843308</v>
      </c>
      <c r="AB6" s="9">
        <v>0</v>
      </c>
      <c r="AC6" s="9">
        <v>0</v>
      </c>
      <c r="AD6" s="12">
        <v>1</v>
      </c>
      <c r="AE6" s="12">
        <v>1</v>
      </c>
      <c r="AF6" s="13">
        <v>0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s="14" customFormat="1" ht="11.25" x14ac:dyDescent="0.2">
      <c r="A7" s="4">
        <v>60005010</v>
      </c>
      <c r="B7" s="15" t="s">
        <v>38</v>
      </c>
      <c r="C7" s="6" t="s">
        <v>33</v>
      </c>
      <c r="D7" s="7">
        <f t="shared" si="0"/>
        <v>4878277.7699999996</v>
      </c>
      <c r="E7" s="7">
        <f t="shared" si="1"/>
        <v>4555322.5</v>
      </c>
      <c r="F7" s="9">
        <f t="shared" si="2"/>
        <v>353251451443.49597</v>
      </c>
      <c r="G7" s="9">
        <f>3417600+3888000+3897600+3835200+3388800+2966400+3388800+3422400+3350400+3571200+3196800+3374400</f>
        <v>41697600</v>
      </c>
      <c r="H7" s="7">
        <f>198908.22+227600.23+219702.69+215950.69+191710.75+170241.92+190464.86+193347.71+188950.02+200241.13+181110.81+193678.95</f>
        <v>2371907.98</v>
      </c>
      <c r="I7" s="9">
        <v>2043922</v>
      </c>
      <c r="J7" s="7">
        <f>91795.62+81280.04+98003.5+106484.27+177055.11+172397.41+221119.58+199657.69+206145.54+177191.33+129937.46+110960.12+157864.07+121270.15</f>
        <v>2051161.89</v>
      </c>
      <c r="K7" s="9">
        <f>10.7+1250.1+86.3+515.1+1524+45.7+483+64.5+140.6+48.4+143.8+558.9+405.6+146.4+1900+1258.1+2194.4+1048.1+525.6+956+110+105+691.8+1101.3+2300+411.8+150+419.8+676.8+750+173.6+179.9+434+702.5+451.1+1979.3+174.1+403.6+172.7+1596.5+223+1400</f>
        <v>27912.099999999991</v>
      </c>
      <c r="L7" s="7">
        <f>3371.29+5962.33+2145.63+121+3523.19+15493.63+2998.61+4362.99+2654.21+9314.6+6875.98+2538.91+3673.06+7376.85+2492.09+10933.6</f>
        <v>83837.97</v>
      </c>
      <c r="M7" s="9">
        <v>3539</v>
      </c>
      <c r="N7" s="7">
        <v>5062</v>
      </c>
      <c r="O7" s="9">
        <f>800.4+323.8+326.9+128.3+62.3+72.3+137+455.4+166.66+489.5+120.5+1173.4+281.4+538.9+690.5+544.4+115.2+167.4+446.6+355.6+679.4+231.8+491.8+199+971.8+63.7+92.7+38.2+38.1+41.2+26.1+362.7+605.7+743.3+277.7+452.7+954.6+187.3+324.3+62.5+353.3+264+236.5+119.4+706.9+298.4+547.3+98.2+239.1+400.2+460.2+1075.9+290.9+170.1+806.4+315.1+126.8+225.8+343.3+772+317.5+635.4+343.2+236.3+52.4+62.2+116.1</f>
        <v>23853.960000000003</v>
      </c>
      <c r="P7" s="10">
        <f>2514.21+606.78+660.87+308.03+3533.1+527.54+3247.23+1321.64+2331+3073.85+460.21+78.65+53.82+3823.3+2565.35+344.36+593.32+732.82+1092.61+2802.79+568.46+668.97+2676.82+2836.81+626.95+2488.32+1186.45+643.6+496.62+108.74+129.49+249.95</f>
        <v>43352.659999999989</v>
      </c>
      <c r="Q7" s="9">
        <v>0</v>
      </c>
      <c r="R7" s="7">
        <v>0</v>
      </c>
      <c r="S7" s="9">
        <v>0</v>
      </c>
      <c r="T7" s="7">
        <v>0</v>
      </c>
      <c r="U7" s="9">
        <v>0</v>
      </c>
      <c r="V7" s="7">
        <v>0</v>
      </c>
      <c r="W7" s="9">
        <v>0</v>
      </c>
      <c r="X7" s="7">
        <v>0</v>
      </c>
      <c r="Y7" s="9">
        <f>(8093000+12220000+12478000+13534000+10037000+6981000+7265000+8950000+7658000+10171000+6857000+8461000)/1000</f>
        <v>112705</v>
      </c>
      <c r="Z7" s="7">
        <f>20212.73+32075.17+36540.87+39319.1+29979.8+19781.55+21608.47+26857.78+21395.17+31544.01+19061.48+24579.14</f>
        <v>322955.26999999996</v>
      </c>
      <c r="AA7" s="9">
        <v>2790749</v>
      </c>
      <c r="AB7" s="9">
        <v>0</v>
      </c>
      <c r="AC7" s="9">
        <v>0</v>
      </c>
      <c r="AD7" s="12">
        <v>1</v>
      </c>
      <c r="AE7" s="12">
        <v>1</v>
      </c>
      <c r="AF7" s="13">
        <v>0</v>
      </c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</row>
    <row r="8" spans="1:48" s="14" customFormat="1" ht="11.25" x14ac:dyDescent="0.2">
      <c r="A8" s="4">
        <v>60005010</v>
      </c>
      <c r="B8" s="15" t="s">
        <v>39</v>
      </c>
      <c r="C8" s="6" t="s">
        <v>33</v>
      </c>
      <c r="D8" s="7">
        <f t="shared" si="0"/>
        <v>4406504.63</v>
      </c>
      <c r="E8" s="7">
        <f t="shared" si="1"/>
        <v>4082684.83</v>
      </c>
      <c r="F8" s="9">
        <f t="shared" si="2"/>
        <v>352101495522.52002</v>
      </c>
      <c r="G8" s="9">
        <f>3614400+3902400+3984000+902400+2822400+3427200+3014400+3398400+3307200+3648000+3676800+2596800+2692800</f>
        <v>40987200</v>
      </c>
      <c r="H8" s="7">
        <f>202701.75+220292.51+245052.31+62613.78+146859.2+176182.06+161442.05+174016.21+170013.8+184721.08+189784.87+172231.39+213968.7</f>
        <v>2319879.7100000004</v>
      </c>
      <c r="I8" s="9">
        <f>106398+110926+115076+160528+219218+219637+266050+235664+207652+178943+104546+103622</f>
        <v>2028260</v>
      </c>
      <c r="J8" s="7">
        <f>157864.07+121270.15+117680.63+154324.69+213674.01+186018.72+204711.02+142437.7+117160.77+93954.29+53379.37+55191.85</f>
        <v>1617667.2700000003</v>
      </c>
      <c r="K8" s="9">
        <v>36156.199999999997</v>
      </c>
      <c r="L8" s="7">
        <v>65564.759999999995</v>
      </c>
      <c r="M8" s="9">
        <v>29425</v>
      </c>
      <c r="N8" s="7">
        <v>79370</v>
      </c>
      <c r="O8" s="16">
        <v>87.7</v>
      </c>
      <c r="P8" s="10">
        <v>203.09</v>
      </c>
      <c r="Q8" s="9">
        <v>0</v>
      </c>
      <c r="R8" s="7">
        <v>0</v>
      </c>
      <c r="S8" s="9">
        <v>0</v>
      </c>
      <c r="T8" s="7">
        <v>0</v>
      </c>
      <c r="U8" s="9">
        <v>0</v>
      </c>
      <c r="V8" s="7">
        <v>0</v>
      </c>
      <c r="W8" s="9">
        <v>0</v>
      </c>
      <c r="X8" s="7">
        <v>0</v>
      </c>
      <c r="Y8" s="9">
        <f>(9068000+10337000+10606000+9949000+8798000+6338000+7265000+8950000+7658000+10171000+6857000+8461000)/1000</f>
        <v>104458</v>
      </c>
      <c r="Z8" s="7">
        <f>104458*3.1</f>
        <v>323819.8</v>
      </c>
      <c r="AA8" s="9">
        <v>2863949</v>
      </c>
      <c r="AB8" s="9">
        <v>0</v>
      </c>
      <c r="AC8" s="9">
        <v>0</v>
      </c>
      <c r="AD8" s="12">
        <v>1</v>
      </c>
      <c r="AE8" s="12">
        <v>1</v>
      </c>
      <c r="AF8" s="13">
        <v>0</v>
      </c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</row>
    <row r="9" spans="1:48" s="14" customFormat="1" ht="11.25" x14ac:dyDescent="0.2">
      <c r="A9" s="4">
        <v>60005010</v>
      </c>
      <c r="B9" s="15" t="s">
        <v>40</v>
      </c>
      <c r="C9" s="6" t="s">
        <v>33</v>
      </c>
      <c r="D9" s="7">
        <f t="shared" si="0"/>
        <v>4187337.4000000004</v>
      </c>
      <c r="E9" s="7">
        <f t="shared" si="1"/>
        <v>3883525.2600000002</v>
      </c>
      <c r="F9" s="9">
        <f t="shared" si="2"/>
        <v>331503986200.79999</v>
      </c>
      <c r="G9" s="9">
        <f>3681600+4027200+4257600+3926400+3571200+3264000+3768000+3580800+3816000+3806400+3307200+3672000</f>
        <v>44678400</v>
      </c>
      <c r="H9" s="7">
        <f>221709.77+242702.27+275662.7+212606.62+192701.42+180662.94+207429.06+200345.98+211941.23+212329.24+192007.95+255561.21</f>
        <v>2605660.39</v>
      </c>
      <c r="I9" s="17">
        <f>102065+98093+104753+145676+228745+269484+257705+224125+136075+81644+67020</f>
        <v>1715385</v>
      </c>
      <c r="J9" s="7">
        <f>58625.57+50877.89+48466.56+78637.93+110850.29+132167.61+190673.34+168660.9+137183.5+71733.26+47886.93+38936.91</f>
        <v>1134700.69</v>
      </c>
      <c r="K9" s="9">
        <v>26259.5</v>
      </c>
      <c r="L9" s="7">
        <v>85505.7</v>
      </c>
      <c r="M9" s="9">
        <v>7500</v>
      </c>
      <c r="N9" s="7">
        <v>10681.5</v>
      </c>
      <c r="O9" s="9">
        <v>30095.5</v>
      </c>
      <c r="P9" s="10">
        <v>46976.98</v>
      </c>
      <c r="Q9" s="9">
        <v>0</v>
      </c>
      <c r="R9" s="7">
        <v>0</v>
      </c>
      <c r="S9" s="9">
        <v>0</v>
      </c>
      <c r="T9" s="7">
        <v>0</v>
      </c>
      <c r="U9" s="9">
        <v>0</v>
      </c>
      <c r="V9" s="7">
        <v>0</v>
      </c>
      <c r="W9" s="9">
        <v>0</v>
      </c>
      <c r="X9" s="7">
        <v>0</v>
      </c>
      <c r="Y9" s="9">
        <f>(8117000+8276000+10386000+9372000+7980000+5858000+8014000+7995000+8092000+8364000+5982000+6824000)/1000</f>
        <v>95260</v>
      </c>
      <c r="Z9" s="7">
        <f>24408.21+25629.05+36796.8+31479.2+27030.34+20129.32+26069.07+24795.26+24809.03+26158.97+16895.1+19611.79</f>
        <v>303812.13999999996</v>
      </c>
      <c r="AA9" s="9">
        <v>2798946</v>
      </c>
      <c r="AB9" s="9">
        <v>0</v>
      </c>
      <c r="AC9" s="9">
        <v>0</v>
      </c>
      <c r="AD9" s="12">
        <v>1</v>
      </c>
      <c r="AE9" s="12">
        <v>1</v>
      </c>
      <c r="AF9" s="13">
        <v>0</v>
      </c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</row>
    <row r="10" spans="1:48" s="14" customFormat="1" ht="11.25" x14ac:dyDescent="0.2">
      <c r="A10" s="4">
        <v>60005010</v>
      </c>
      <c r="B10" s="15" t="s">
        <v>41</v>
      </c>
      <c r="C10" s="6" t="s">
        <v>33</v>
      </c>
      <c r="D10" s="7">
        <f t="shared" si="0"/>
        <v>4175587</v>
      </c>
      <c r="E10" s="7">
        <f t="shared" si="1"/>
        <v>3871881</v>
      </c>
      <c r="F10" s="9">
        <f t="shared" si="2"/>
        <v>354487462758</v>
      </c>
      <c r="G10" s="9">
        <v>44860800</v>
      </c>
      <c r="H10" s="7">
        <v>2575271</v>
      </c>
      <c r="I10" s="9">
        <v>1922925</v>
      </c>
      <c r="J10" s="7">
        <v>1118459</v>
      </c>
      <c r="K10" s="9">
        <v>45110</v>
      </c>
      <c r="L10" s="7">
        <v>128022</v>
      </c>
      <c r="M10" s="9">
        <v>3000</v>
      </c>
      <c r="N10" s="7">
        <v>0</v>
      </c>
      <c r="O10" s="9">
        <v>26455</v>
      </c>
      <c r="P10" s="10">
        <v>50129</v>
      </c>
      <c r="Q10" s="9">
        <v>0</v>
      </c>
      <c r="R10" s="7">
        <v>0</v>
      </c>
      <c r="S10" s="9">
        <v>0</v>
      </c>
      <c r="T10" s="7">
        <v>0</v>
      </c>
      <c r="U10" s="9">
        <v>0</v>
      </c>
      <c r="V10" s="7">
        <v>0</v>
      </c>
      <c r="W10" s="9">
        <v>0</v>
      </c>
      <c r="X10" s="7">
        <v>0</v>
      </c>
      <c r="Y10" s="9">
        <v>96188</v>
      </c>
      <c r="Z10" s="7">
        <v>303706</v>
      </c>
      <c r="AA10" s="9">
        <v>2911228</v>
      </c>
      <c r="AB10" s="9">
        <v>0</v>
      </c>
      <c r="AC10" s="9">
        <v>0</v>
      </c>
      <c r="AD10" s="12">
        <v>1</v>
      </c>
      <c r="AE10" s="12">
        <v>1</v>
      </c>
      <c r="AF10" s="13">
        <v>0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</row>
    <row r="11" spans="1:48" s="14" customFormat="1" ht="11.25" x14ac:dyDescent="0.2">
      <c r="A11" s="4">
        <v>60005010</v>
      </c>
      <c r="B11" s="15" t="s">
        <v>42</v>
      </c>
      <c r="C11" s="6" t="s">
        <v>33</v>
      </c>
      <c r="D11" s="7">
        <f t="shared" si="0"/>
        <v>4293145.41</v>
      </c>
      <c r="E11" s="7">
        <f t="shared" si="1"/>
        <v>3955604.55</v>
      </c>
      <c r="F11" s="9">
        <f t="shared" si="2"/>
        <v>343751310482.76001</v>
      </c>
      <c r="G11" s="9">
        <f>4051200+4286400+4248000+3801600+3796800+3480000+3715200+3571200+3878400+3667200+3556800+3590400</f>
        <v>45643200</v>
      </c>
      <c r="H11" s="7">
        <f>250367.63+273792.87+289450.51+208537.78+210460.95+196859.52+205452.55+214164.59+228387.01+217815.57+215698.9+260179.79</f>
        <v>2771167.67</v>
      </c>
      <c r="I11" s="9">
        <f>103833+102819+113030+160402+188248+216568+232934+205537+163296+142163+83775+90119</f>
        <v>1802724</v>
      </c>
      <c r="J11" s="7">
        <f>66020.67+65530.28+68928.39+94843.44+105805.43+121578.99+126953.4+106135.56+85222.87+71284.05+43261.7+47419.48</f>
        <v>1002984.2599999999</v>
      </c>
      <c r="K11" s="9">
        <v>39508.699999999997</v>
      </c>
      <c r="L11" s="7">
        <v>131258.73000000001</v>
      </c>
      <c r="M11" s="9">
        <v>0</v>
      </c>
      <c r="N11" s="7">
        <v>0</v>
      </c>
      <c r="O11" s="9">
        <v>24712.6</v>
      </c>
      <c r="P11" s="7">
        <v>50193.89</v>
      </c>
      <c r="Q11" s="9">
        <v>0</v>
      </c>
      <c r="R11" s="7">
        <v>0</v>
      </c>
      <c r="S11" s="9">
        <v>0</v>
      </c>
      <c r="T11" s="7">
        <v>0</v>
      </c>
      <c r="U11" s="9">
        <v>0</v>
      </c>
      <c r="V11" s="7">
        <v>0</v>
      </c>
      <c r="W11" s="9">
        <v>0</v>
      </c>
      <c r="X11" s="7">
        <v>0</v>
      </c>
      <c r="Y11" s="9">
        <f>(8040000+10795000+11172000+10043000+9408000+8122000+8260000+8881000+9066000+8485000+6140000+6709000)/1000</f>
        <v>105121</v>
      </c>
      <c r="Z11" s="7">
        <f>20244.71+32805.86+36597.48+32860.86+31665.75+28489.65+28284.8+31055.14+31644.76+28058.54+17684.05+18149.26</f>
        <v>337540.86</v>
      </c>
      <c r="AA11" s="9">
        <v>2954814</v>
      </c>
      <c r="AB11" s="9">
        <v>0</v>
      </c>
      <c r="AC11" s="9">
        <v>0</v>
      </c>
      <c r="AD11" s="12">
        <v>1</v>
      </c>
      <c r="AE11" s="12">
        <v>1</v>
      </c>
      <c r="AF11" s="13">
        <v>0</v>
      </c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</row>
    <row r="12" spans="1:48" s="14" customFormat="1" ht="11.25" x14ac:dyDescent="0.2">
      <c r="A12" s="4">
        <v>60005010</v>
      </c>
      <c r="B12" s="15" t="s">
        <v>43</v>
      </c>
      <c r="C12" s="6" t="s">
        <v>33</v>
      </c>
      <c r="D12" s="7">
        <f t="shared" si="0"/>
        <v>4333509.1098999996</v>
      </c>
      <c r="E12" s="7">
        <f t="shared" si="1"/>
        <v>4028008.3198999995</v>
      </c>
      <c r="F12" s="9">
        <f t="shared" si="2"/>
        <v>351945266356.79999</v>
      </c>
      <c r="G12" s="9">
        <v>44414400</v>
      </c>
      <c r="H12" s="7">
        <v>2811271.2598999999</v>
      </c>
      <c r="I12" s="9">
        <v>1944331</v>
      </c>
      <c r="J12" s="7">
        <v>1089996.55</v>
      </c>
      <c r="K12" s="9">
        <v>23359.3</v>
      </c>
      <c r="L12" s="7">
        <v>82008.009999999995</v>
      </c>
      <c r="M12" s="9">
        <v>1000</v>
      </c>
      <c r="N12" s="7">
        <v>0</v>
      </c>
      <c r="O12" s="9">
        <v>28160.5</v>
      </c>
      <c r="P12" s="7">
        <v>44732.5</v>
      </c>
      <c r="Q12" s="9">
        <v>0</v>
      </c>
      <c r="R12" s="7">
        <v>0</v>
      </c>
      <c r="S12" s="9">
        <v>0</v>
      </c>
      <c r="T12" s="7">
        <v>0</v>
      </c>
      <c r="U12" s="9">
        <v>0</v>
      </c>
      <c r="V12" s="7">
        <v>0</v>
      </c>
      <c r="W12" s="9">
        <v>0</v>
      </c>
      <c r="X12" s="7">
        <v>0</v>
      </c>
      <c r="Y12" s="9">
        <v>97328.26</v>
      </c>
      <c r="Z12" s="7">
        <v>305500.78999999998</v>
      </c>
      <c r="AA12" s="9">
        <v>3105538</v>
      </c>
      <c r="AB12" s="9">
        <v>0</v>
      </c>
      <c r="AC12" s="9">
        <v>0</v>
      </c>
      <c r="AD12" s="12">
        <v>1</v>
      </c>
      <c r="AE12" s="12">
        <v>1</v>
      </c>
      <c r="AF12" s="13">
        <v>0</v>
      </c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4" customFormat="1" ht="11.25" x14ac:dyDescent="0.2">
      <c r="A13" s="4">
        <v>60005010</v>
      </c>
      <c r="B13" s="15" t="s">
        <v>44</v>
      </c>
      <c r="C13" s="6" t="s">
        <v>33</v>
      </c>
      <c r="D13" s="7">
        <f t="shared" si="0"/>
        <v>4938559.7600000007</v>
      </c>
      <c r="E13" s="7">
        <f t="shared" si="1"/>
        <v>4611419.6800000006</v>
      </c>
      <c r="F13" s="9">
        <f t="shared" si="2"/>
        <v>358812252220.32001</v>
      </c>
      <c r="G13" s="9">
        <v>44718413</v>
      </c>
      <c r="H13" s="18">
        <v>3146712.03</v>
      </c>
      <c r="I13" s="9">
        <v>1860120</v>
      </c>
      <c r="J13" s="18">
        <v>1122036.0999999999</v>
      </c>
      <c r="K13" s="9">
        <v>19742.2</v>
      </c>
      <c r="L13" s="18">
        <v>67481.66</v>
      </c>
      <c r="M13" s="9">
        <v>98018</v>
      </c>
      <c r="N13" s="18">
        <v>209611.49</v>
      </c>
      <c r="O13" s="9">
        <v>30668.2</v>
      </c>
      <c r="P13" s="18">
        <v>65578.399999999994</v>
      </c>
      <c r="Q13" s="9">
        <v>0</v>
      </c>
      <c r="R13" s="18">
        <v>0</v>
      </c>
      <c r="S13" s="9">
        <v>0</v>
      </c>
      <c r="T13" s="18">
        <v>0</v>
      </c>
      <c r="U13" s="9">
        <v>0</v>
      </c>
      <c r="V13" s="18">
        <v>0</v>
      </c>
      <c r="W13" s="9">
        <v>0</v>
      </c>
      <c r="X13" s="18">
        <v>0</v>
      </c>
      <c r="Y13" s="9">
        <v>96316</v>
      </c>
      <c r="Z13" s="18">
        <v>327140.08</v>
      </c>
      <c r="AA13" s="9">
        <v>3103210</v>
      </c>
      <c r="AB13" s="9">
        <v>0</v>
      </c>
      <c r="AC13" s="9">
        <v>0</v>
      </c>
      <c r="AD13" s="12">
        <v>1</v>
      </c>
      <c r="AE13" s="12">
        <v>1</v>
      </c>
      <c r="AF13" s="19">
        <v>0</v>
      </c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</row>
    <row r="14" spans="1:48" s="14" customFormat="1" ht="11.25" x14ac:dyDescent="0.2">
      <c r="A14" s="4">
        <v>60005010</v>
      </c>
      <c r="B14" s="15" t="s">
        <v>45</v>
      </c>
      <c r="C14" s="6" t="s">
        <v>33</v>
      </c>
      <c r="D14" s="7">
        <f t="shared" si="0"/>
        <v>4682160.3499999996</v>
      </c>
      <c r="E14" s="7">
        <f t="shared" si="1"/>
        <v>4313343.12</v>
      </c>
      <c r="F14" s="9">
        <f t="shared" si="2"/>
        <v>364682886360.44</v>
      </c>
      <c r="G14" s="9">
        <f>44232000+2905200</f>
        <v>47137200</v>
      </c>
      <c r="H14" s="7">
        <f>2847703.12+218216.28</f>
        <v>3065919.4</v>
      </c>
      <c r="I14" s="9">
        <v>1928100</v>
      </c>
      <c r="J14" s="7">
        <v>1041140.14</v>
      </c>
      <c r="K14" s="9">
        <v>22408</v>
      </c>
      <c r="L14" s="7">
        <v>57203.78</v>
      </c>
      <c r="M14" s="9">
        <v>40000</v>
      </c>
      <c r="N14" s="7">
        <v>114116</v>
      </c>
      <c r="O14" s="9">
        <f>10594.5+10632.4</f>
        <v>21226.9</v>
      </c>
      <c r="P14" s="7">
        <f>11082.1+23881.7</f>
        <v>34963.800000000003</v>
      </c>
      <c r="Q14" s="9">
        <v>0</v>
      </c>
      <c r="R14" s="7">
        <v>0</v>
      </c>
      <c r="S14" s="9">
        <v>0</v>
      </c>
      <c r="T14" s="7">
        <v>0</v>
      </c>
      <c r="U14" s="9">
        <v>0</v>
      </c>
      <c r="V14" s="7">
        <v>0</v>
      </c>
      <c r="W14" s="9">
        <v>0</v>
      </c>
      <c r="X14" s="7">
        <v>0</v>
      </c>
      <c r="Y14" s="46">
        <f>96796.7+695.72</f>
        <v>97492.42</v>
      </c>
      <c r="Z14" s="7">
        <f>362870+5947.23</f>
        <v>368817.23</v>
      </c>
      <c r="AA14" s="9">
        <v>3103210</v>
      </c>
      <c r="AB14" s="9">
        <v>0</v>
      </c>
      <c r="AC14" s="9">
        <v>0</v>
      </c>
      <c r="AD14" s="12">
        <v>1</v>
      </c>
      <c r="AE14" s="12">
        <v>1</v>
      </c>
      <c r="AF14" s="9">
        <v>0</v>
      </c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s="14" customFormat="1" ht="11.25" x14ac:dyDescent="0.2">
      <c r="A15" s="4">
        <v>60005010</v>
      </c>
      <c r="B15" s="15" t="s">
        <v>46</v>
      </c>
      <c r="C15" s="6" t="s">
        <v>33</v>
      </c>
      <c r="D15" s="7">
        <f t="shared" si="0"/>
        <v>0</v>
      </c>
      <c r="E15" s="7">
        <f t="shared" si="1"/>
        <v>0</v>
      </c>
      <c r="F15" s="9">
        <f t="shared" si="2"/>
        <v>0</v>
      </c>
      <c r="G15" s="9">
        <v>0</v>
      </c>
      <c r="H15" s="7">
        <v>0</v>
      </c>
      <c r="I15" s="9">
        <v>0</v>
      </c>
      <c r="J15" s="7">
        <v>0</v>
      </c>
      <c r="K15" s="9">
        <v>0</v>
      </c>
      <c r="L15" s="7">
        <v>0</v>
      </c>
      <c r="M15" s="9">
        <v>0</v>
      </c>
      <c r="N15" s="7">
        <v>0</v>
      </c>
      <c r="O15" s="9">
        <v>0</v>
      </c>
      <c r="P15" s="7">
        <v>0</v>
      </c>
      <c r="Q15" s="9">
        <v>0</v>
      </c>
      <c r="R15" s="7">
        <v>0</v>
      </c>
      <c r="S15" s="9">
        <v>0</v>
      </c>
      <c r="T15" s="7">
        <v>0</v>
      </c>
      <c r="U15" s="9">
        <v>0</v>
      </c>
      <c r="V15" s="7">
        <v>0</v>
      </c>
      <c r="W15" s="9">
        <v>0</v>
      </c>
      <c r="X15" s="7">
        <v>0</v>
      </c>
      <c r="Y15" s="9">
        <v>0</v>
      </c>
      <c r="Z15" s="7">
        <v>0</v>
      </c>
      <c r="AA15" s="9">
        <v>0</v>
      </c>
      <c r="AB15" s="9">
        <v>0</v>
      </c>
      <c r="AC15" s="9">
        <v>0</v>
      </c>
      <c r="AD15" s="12">
        <v>1</v>
      </c>
      <c r="AE15" s="12">
        <v>1</v>
      </c>
      <c r="AF15" s="9">
        <v>0</v>
      </c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</row>
    <row r="16" spans="1:48" s="14" customFormat="1" ht="11.25" x14ac:dyDescent="0.2">
      <c r="A16" s="4">
        <v>60005010</v>
      </c>
      <c r="B16" s="15" t="s">
        <v>47</v>
      </c>
      <c r="C16" s="6" t="s">
        <v>33</v>
      </c>
      <c r="D16" s="7">
        <f t="shared" si="0"/>
        <v>0</v>
      </c>
      <c r="E16" s="7">
        <f t="shared" si="1"/>
        <v>0</v>
      </c>
      <c r="F16" s="9">
        <f t="shared" si="2"/>
        <v>0</v>
      </c>
      <c r="G16" s="9">
        <v>0</v>
      </c>
      <c r="H16" s="7">
        <v>0</v>
      </c>
      <c r="I16" s="9">
        <v>0</v>
      </c>
      <c r="J16" s="7">
        <v>0</v>
      </c>
      <c r="K16" s="9">
        <v>0</v>
      </c>
      <c r="L16" s="7">
        <v>0</v>
      </c>
      <c r="M16" s="9">
        <v>0</v>
      </c>
      <c r="N16" s="7">
        <v>0</v>
      </c>
      <c r="O16" s="9">
        <v>0</v>
      </c>
      <c r="P16" s="7">
        <v>0</v>
      </c>
      <c r="Q16" s="9">
        <v>0</v>
      </c>
      <c r="R16" s="7">
        <v>0</v>
      </c>
      <c r="S16" s="9">
        <v>0</v>
      </c>
      <c r="T16" s="7">
        <v>0</v>
      </c>
      <c r="U16" s="9">
        <v>0</v>
      </c>
      <c r="V16" s="7">
        <v>0</v>
      </c>
      <c r="W16" s="9">
        <v>0</v>
      </c>
      <c r="X16" s="7">
        <v>0</v>
      </c>
      <c r="Y16" s="9">
        <v>0</v>
      </c>
      <c r="Z16" s="7">
        <v>0</v>
      </c>
      <c r="AA16" s="9">
        <v>0</v>
      </c>
      <c r="AB16" s="9">
        <v>0</v>
      </c>
      <c r="AC16" s="9">
        <v>0</v>
      </c>
      <c r="AD16" s="12">
        <v>1</v>
      </c>
      <c r="AE16" s="12">
        <v>1</v>
      </c>
      <c r="AF16" s="9">
        <v>0</v>
      </c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52" s="14" customFormat="1" ht="11.25" x14ac:dyDescent="0.2">
      <c r="A17" s="4">
        <v>60005010</v>
      </c>
      <c r="B17" s="15" t="s">
        <v>48</v>
      </c>
      <c r="C17" s="6" t="s">
        <v>33</v>
      </c>
      <c r="D17" s="7">
        <f t="shared" si="0"/>
        <v>0</v>
      </c>
      <c r="E17" s="7">
        <f t="shared" si="1"/>
        <v>0</v>
      </c>
      <c r="F17" s="9">
        <f t="shared" si="2"/>
        <v>0</v>
      </c>
      <c r="G17" s="9">
        <v>0</v>
      </c>
      <c r="H17" s="7">
        <v>0</v>
      </c>
      <c r="I17" s="9">
        <v>0</v>
      </c>
      <c r="J17" s="7">
        <v>0</v>
      </c>
      <c r="K17" s="9">
        <v>0</v>
      </c>
      <c r="L17" s="7">
        <v>0</v>
      </c>
      <c r="M17" s="9">
        <v>0</v>
      </c>
      <c r="N17" s="7">
        <v>0</v>
      </c>
      <c r="O17" s="9">
        <v>0</v>
      </c>
      <c r="P17" s="7">
        <v>0</v>
      </c>
      <c r="Q17" s="9">
        <v>0</v>
      </c>
      <c r="R17" s="7">
        <v>0</v>
      </c>
      <c r="S17" s="9">
        <v>0</v>
      </c>
      <c r="T17" s="7">
        <v>0</v>
      </c>
      <c r="U17" s="9">
        <v>0</v>
      </c>
      <c r="V17" s="7">
        <v>0</v>
      </c>
      <c r="W17" s="9">
        <v>0</v>
      </c>
      <c r="X17" s="7">
        <v>0</v>
      </c>
      <c r="Y17" s="9">
        <v>0</v>
      </c>
      <c r="Z17" s="7">
        <v>0</v>
      </c>
      <c r="AA17" s="9">
        <v>0</v>
      </c>
      <c r="AB17" s="9">
        <v>0</v>
      </c>
      <c r="AC17" s="9">
        <v>0</v>
      </c>
      <c r="AD17" s="12">
        <v>1</v>
      </c>
      <c r="AE17" s="12">
        <v>1</v>
      </c>
      <c r="AF17" s="9">
        <v>0</v>
      </c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</row>
    <row r="18" spans="1:52" s="14" customFormat="1" ht="11.25" x14ac:dyDescent="0.2">
      <c r="A18" s="4">
        <v>60005010</v>
      </c>
      <c r="B18" s="15" t="s">
        <v>49</v>
      </c>
      <c r="C18" s="6" t="s">
        <v>33</v>
      </c>
      <c r="D18" s="7">
        <f t="shared" si="0"/>
        <v>0</v>
      </c>
      <c r="E18" s="7">
        <f t="shared" si="1"/>
        <v>0</v>
      </c>
      <c r="F18" s="9">
        <f t="shared" si="2"/>
        <v>0</v>
      </c>
      <c r="G18" s="9">
        <v>0</v>
      </c>
      <c r="H18" s="7">
        <v>0</v>
      </c>
      <c r="I18" s="9">
        <v>0</v>
      </c>
      <c r="J18" s="7">
        <v>0</v>
      </c>
      <c r="K18" s="9">
        <v>0</v>
      </c>
      <c r="L18" s="7">
        <v>0</v>
      </c>
      <c r="M18" s="9">
        <v>0</v>
      </c>
      <c r="N18" s="7">
        <v>0</v>
      </c>
      <c r="O18" s="9">
        <v>0</v>
      </c>
      <c r="P18" s="7">
        <v>0</v>
      </c>
      <c r="Q18" s="9">
        <v>0</v>
      </c>
      <c r="R18" s="7">
        <v>0</v>
      </c>
      <c r="S18" s="9">
        <v>0</v>
      </c>
      <c r="T18" s="7">
        <v>0</v>
      </c>
      <c r="U18" s="9">
        <v>0</v>
      </c>
      <c r="V18" s="7">
        <v>0</v>
      </c>
      <c r="W18" s="9">
        <v>0</v>
      </c>
      <c r="X18" s="7">
        <v>0</v>
      </c>
      <c r="Y18" s="9">
        <v>0</v>
      </c>
      <c r="Z18" s="7">
        <v>0</v>
      </c>
      <c r="AA18" s="9">
        <v>0</v>
      </c>
      <c r="AB18" s="9">
        <v>0</v>
      </c>
      <c r="AC18" s="9">
        <v>0</v>
      </c>
      <c r="AD18" s="12">
        <v>1</v>
      </c>
      <c r="AE18" s="12">
        <v>1</v>
      </c>
      <c r="AF18" s="9">
        <v>0</v>
      </c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52" s="14" customFormat="1" ht="11.25" x14ac:dyDescent="0.2">
      <c r="A19" s="4">
        <v>60005010</v>
      </c>
      <c r="B19" s="15" t="s">
        <v>50</v>
      </c>
      <c r="C19" s="6" t="s">
        <v>33</v>
      </c>
      <c r="D19" s="7">
        <f t="shared" si="0"/>
        <v>0</v>
      </c>
      <c r="E19" s="7">
        <f t="shared" si="1"/>
        <v>0</v>
      </c>
      <c r="F19" s="9">
        <f t="shared" si="2"/>
        <v>0</v>
      </c>
      <c r="G19" s="9">
        <v>0</v>
      </c>
      <c r="H19" s="7">
        <v>0</v>
      </c>
      <c r="I19" s="9">
        <v>0</v>
      </c>
      <c r="J19" s="7">
        <v>0</v>
      </c>
      <c r="K19" s="9">
        <v>0</v>
      </c>
      <c r="L19" s="7">
        <v>0</v>
      </c>
      <c r="M19" s="9">
        <v>0</v>
      </c>
      <c r="N19" s="7">
        <v>0</v>
      </c>
      <c r="O19" s="9">
        <v>0</v>
      </c>
      <c r="P19" s="7">
        <v>0</v>
      </c>
      <c r="Q19" s="9">
        <v>0</v>
      </c>
      <c r="R19" s="7">
        <v>0</v>
      </c>
      <c r="S19" s="9">
        <v>0</v>
      </c>
      <c r="T19" s="7">
        <v>0</v>
      </c>
      <c r="U19" s="9">
        <v>0</v>
      </c>
      <c r="V19" s="7">
        <v>0</v>
      </c>
      <c r="W19" s="9">
        <v>0</v>
      </c>
      <c r="X19" s="7">
        <v>0</v>
      </c>
      <c r="Y19" s="9">
        <v>0</v>
      </c>
      <c r="Z19" s="7">
        <v>0</v>
      </c>
      <c r="AA19" s="9">
        <v>0</v>
      </c>
      <c r="AB19" s="9">
        <v>0</v>
      </c>
      <c r="AC19" s="9">
        <v>0</v>
      </c>
      <c r="AD19" s="12">
        <v>1</v>
      </c>
      <c r="AE19" s="12">
        <v>1</v>
      </c>
      <c r="AF19" s="9">
        <v>0</v>
      </c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52" s="14" customFormat="1" ht="11.25" x14ac:dyDescent="0.2">
      <c r="A20" s="4">
        <v>60005010</v>
      </c>
      <c r="B20" s="15" t="s">
        <v>51</v>
      </c>
      <c r="C20" s="6" t="s">
        <v>33</v>
      </c>
      <c r="D20" s="7">
        <f t="shared" si="0"/>
        <v>0</v>
      </c>
      <c r="E20" s="7">
        <f t="shared" si="1"/>
        <v>0</v>
      </c>
      <c r="F20" s="9">
        <f t="shared" si="2"/>
        <v>0</v>
      </c>
      <c r="G20" s="9">
        <v>0</v>
      </c>
      <c r="H20" s="7">
        <v>0</v>
      </c>
      <c r="I20" s="9">
        <v>0</v>
      </c>
      <c r="J20" s="7">
        <v>0</v>
      </c>
      <c r="K20" s="9">
        <v>0</v>
      </c>
      <c r="L20" s="7">
        <v>0</v>
      </c>
      <c r="M20" s="9">
        <v>0</v>
      </c>
      <c r="N20" s="7">
        <v>0</v>
      </c>
      <c r="O20" s="9">
        <v>0</v>
      </c>
      <c r="P20" s="7">
        <v>0</v>
      </c>
      <c r="Q20" s="9">
        <v>0</v>
      </c>
      <c r="R20" s="7">
        <v>0</v>
      </c>
      <c r="S20" s="9">
        <v>0</v>
      </c>
      <c r="T20" s="7">
        <v>0</v>
      </c>
      <c r="U20" s="9">
        <v>0</v>
      </c>
      <c r="V20" s="7">
        <v>0</v>
      </c>
      <c r="W20" s="9">
        <v>0</v>
      </c>
      <c r="X20" s="7">
        <v>0</v>
      </c>
      <c r="Y20" s="9">
        <v>0</v>
      </c>
      <c r="Z20" s="7">
        <v>0</v>
      </c>
      <c r="AA20" s="9">
        <v>0</v>
      </c>
      <c r="AB20" s="9">
        <v>0</v>
      </c>
      <c r="AC20" s="9">
        <v>0</v>
      </c>
      <c r="AD20" s="12">
        <v>1</v>
      </c>
      <c r="AE20" s="12">
        <v>1</v>
      </c>
      <c r="AF20" s="9">
        <v>0</v>
      </c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52" s="14" customFormat="1" ht="11.25" customHeight="1" x14ac:dyDescent="0.2">
      <c r="A21" s="4">
        <v>60005010</v>
      </c>
      <c r="B21" s="15" t="s">
        <v>52</v>
      </c>
      <c r="C21" s="6" t="s">
        <v>33</v>
      </c>
      <c r="D21" s="7">
        <f t="shared" si="0"/>
        <v>0</v>
      </c>
      <c r="E21" s="7">
        <f t="shared" si="1"/>
        <v>0</v>
      </c>
      <c r="F21" s="9">
        <f t="shared" si="2"/>
        <v>0</v>
      </c>
      <c r="G21" s="9">
        <v>0</v>
      </c>
      <c r="H21" s="7">
        <v>0</v>
      </c>
      <c r="I21" s="9">
        <v>0</v>
      </c>
      <c r="J21" s="7">
        <v>0</v>
      </c>
      <c r="K21" s="9">
        <v>0</v>
      </c>
      <c r="L21" s="7">
        <v>0</v>
      </c>
      <c r="M21" s="9">
        <v>0</v>
      </c>
      <c r="N21" s="7">
        <v>0</v>
      </c>
      <c r="O21" s="9">
        <v>0</v>
      </c>
      <c r="P21" s="7">
        <v>0</v>
      </c>
      <c r="Q21" s="9">
        <v>0</v>
      </c>
      <c r="R21" s="7">
        <v>0</v>
      </c>
      <c r="S21" s="9">
        <v>0</v>
      </c>
      <c r="T21" s="7">
        <v>0</v>
      </c>
      <c r="U21" s="9">
        <v>0</v>
      </c>
      <c r="V21" s="7">
        <v>0</v>
      </c>
      <c r="W21" s="9">
        <v>0</v>
      </c>
      <c r="X21" s="7">
        <v>0</v>
      </c>
      <c r="Y21" s="9">
        <v>0</v>
      </c>
      <c r="Z21" s="7">
        <v>0</v>
      </c>
      <c r="AA21" s="9">
        <v>0</v>
      </c>
      <c r="AB21" s="9">
        <v>0</v>
      </c>
      <c r="AC21" s="9">
        <v>0</v>
      </c>
      <c r="AD21" s="12">
        <v>1</v>
      </c>
      <c r="AE21" s="12">
        <v>1</v>
      </c>
      <c r="AF21" s="9">
        <v>0</v>
      </c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 s="14" customFormat="1" ht="11.25" customHeight="1" x14ac:dyDescent="0.2">
      <c r="A22" s="4">
        <v>60005010</v>
      </c>
      <c r="B22" s="15" t="s">
        <v>53</v>
      </c>
      <c r="C22" s="6" t="s">
        <v>33</v>
      </c>
      <c r="D22" s="7">
        <f t="shared" si="0"/>
        <v>0</v>
      </c>
      <c r="E22" s="7">
        <f t="shared" si="1"/>
        <v>0</v>
      </c>
      <c r="F22" s="9">
        <f t="shared" si="2"/>
        <v>0</v>
      </c>
      <c r="G22" s="9">
        <v>0</v>
      </c>
      <c r="H22" s="7">
        <v>0</v>
      </c>
      <c r="I22" s="9">
        <v>0</v>
      </c>
      <c r="J22" s="7">
        <v>0</v>
      </c>
      <c r="K22" s="9">
        <v>0</v>
      </c>
      <c r="L22" s="7">
        <v>0</v>
      </c>
      <c r="M22" s="9">
        <v>0</v>
      </c>
      <c r="N22" s="7">
        <v>0</v>
      </c>
      <c r="O22" s="9">
        <v>0</v>
      </c>
      <c r="P22" s="7">
        <v>0</v>
      </c>
      <c r="Q22" s="9">
        <v>0</v>
      </c>
      <c r="R22" s="7">
        <v>0</v>
      </c>
      <c r="S22" s="9">
        <v>0</v>
      </c>
      <c r="T22" s="7">
        <v>0</v>
      </c>
      <c r="U22" s="9">
        <v>0</v>
      </c>
      <c r="V22" s="7">
        <v>0</v>
      </c>
      <c r="W22" s="9">
        <v>0</v>
      </c>
      <c r="X22" s="7">
        <v>0</v>
      </c>
      <c r="Y22" s="9">
        <v>0</v>
      </c>
      <c r="Z22" s="7">
        <v>0</v>
      </c>
      <c r="AA22" s="9">
        <v>0</v>
      </c>
      <c r="AB22" s="9">
        <v>0</v>
      </c>
      <c r="AC22" s="9">
        <v>0</v>
      </c>
      <c r="AD22" s="12">
        <v>1</v>
      </c>
      <c r="AE22" s="12">
        <v>1</v>
      </c>
      <c r="AF22" s="9">
        <v>0</v>
      </c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2" s="14" customFormat="1" ht="11.25" x14ac:dyDescent="0.2">
      <c r="A23" s="4">
        <v>60005010</v>
      </c>
      <c r="B23" s="15" t="s">
        <v>54</v>
      </c>
      <c r="C23" s="6" t="s">
        <v>33</v>
      </c>
      <c r="D23" s="7">
        <f t="shared" si="0"/>
        <v>0</v>
      </c>
      <c r="E23" s="7">
        <f t="shared" si="1"/>
        <v>0</v>
      </c>
      <c r="F23" s="9">
        <f t="shared" si="2"/>
        <v>0</v>
      </c>
      <c r="G23" s="9">
        <v>0</v>
      </c>
      <c r="H23" s="7">
        <v>0</v>
      </c>
      <c r="I23" s="9">
        <v>0</v>
      </c>
      <c r="J23" s="7">
        <v>0</v>
      </c>
      <c r="K23" s="9">
        <v>0</v>
      </c>
      <c r="L23" s="7">
        <v>0</v>
      </c>
      <c r="M23" s="9">
        <v>0</v>
      </c>
      <c r="N23" s="7">
        <v>0</v>
      </c>
      <c r="O23" s="9">
        <v>0</v>
      </c>
      <c r="P23" s="7">
        <v>0</v>
      </c>
      <c r="Q23" s="9">
        <v>0</v>
      </c>
      <c r="R23" s="7">
        <v>0</v>
      </c>
      <c r="S23" s="9">
        <v>0</v>
      </c>
      <c r="T23" s="7">
        <v>0</v>
      </c>
      <c r="U23" s="9">
        <v>0</v>
      </c>
      <c r="V23" s="7">
        <v>0</v>
      </c>
      <c r="W23" s="9">
        <v>0</v>
      </c>
      <c r="X23" s="7">
        <v>0</v>
      </c>
      <c r="Y23" s="9">
        <v>0</v>
      </c>
      <c r="Z23" s="7">
        <v>0</v>
      </c>
      <c r="AA23" s="9">
        <v>0</v>
      </c>
      <c r="AB23" s="9">
        <v>0</v>
      </c>
      <c r="AC23" s="9">
        <v>0</v>
      </c>
      <c r="AD23" s="12">
        <v>1</v>
      </c>
      <c r="AE23" s="12">
        <v>1</v>
      </c>
      <c r="AF23" s="9">
        <v>0</v>
      </c>
    </row>
    <row r="24" spans="1:52" s="14" customFormat="1" ht="11.25" x14ac:dyDescent="0.2">
      <c r="A24" s="4">
        <v>60005010</v>
      </c>
      <c r="B24" s="15" t="s">
        <v>55</v>
      </c>
      <c r="C24" s="6" t="s">
        <v>33</v>
      </c>
      <c r="D24" s="7">
        <f t="shared" si="0"/>
        <v>0</v>
      </c>
      <c r="E24" s="7">
        <f t="shared" si="1"/>
        <v>0</v>
      </c>
      <c r="F24" s="9">
        <f t="shared" si="2"/>
        <v>0</v>
      </c>
      <c r="G24" s="9">
        <v>0</v>
      </c>
      <c r="H24" s="7">
        <v>0</v>
      </c>
      <c r="I24" s="9">
        <v>0</v>
      </c>
      <c r="J24" s="7">
        <v>0</v>
      </c>
      <c r="K24" s="9">
        <v>0</v>
      </c>
      <c r="L24" s="7">
        <v>0</v>
      </c>
      <c r="M24" s="9">
        <v>0</v>
      </c>
      <c r="N24" s="7">
        <v>0</v>
      </c>
      <c r="O24" s="9">
        <v>0</v>
      </c>
      <c r="P24" s="7">
        <v>0</v>
      </c>
      <c r="Q24" s="9">
        <v>0</v>
      </c>
      <c r="R24" s="7">
        <v>0</v>
      </c>
      <c r="S24" s="9">
        <v>0</v>
      </c>
      <c r="T24" s="7">
        <v>0</v>
      </c>
      <c r="U24" s="9">
        <v>0</v>
      </c>
      <c r="V24" s="7">
        <v>0</v>
      </c>
      <c r="W24" s="9">
        <v>0</v>
      </c>
      <c r="X24" s="7">
        <v>0</v>
      </c>
      <c r="Y24" s="9">
        <v>0</v>
      </c>
      <c r="Z24" s="7">
        <v>0</v>
      </c>
      <c r="AA24" s="9">
        <v>0</v>
      </c>
      <c r="AB24" s="9">
        <v>0</v>
      </c>
      <c r="AC24" s="9">
        <v>0</v>
      </c>
      <c r="AD24" s="12">
        <v>1</v>
      </c>
      <c r="AE24" s="12">
        <v>1</v>
      </c>
      <c r="AF24" s="9">
        <v>0</v>
      </c>
    </row>
    <row r="25" spans="1:52" s="14" customFormat="1" ht="11.25" x14ac:dyDescent="0.2">
      <c r="A25" s="4"/>
      <c r="B25" s="20"/>
      <c r="C25" s="6"/>
      <c r="D25" s="7"/>
      <c r="E25" s="7"/>
      <c r="F25" s="21"/>
      <c r="G25" s="6"/>
      <c r="H25" s="21"/>
      <c r="I25" s="21"/>
      <c r="J25" s="7"/>
      <c r="K25" s="7"/>
      <c r="L25" s="21"/>
      <c r="M25" s="7"/>
      <c r="N25" s="21"/>
      <c r="O25" s="7"/>
      <c r="P25" s="21"/>
      <c r="Q25" s="7"/>
      <c r="R25" s="21"/>
      <c r="S25" s="7"/>
      <c r="T25" s="21"/>
      <c r="U25" s="21"/>
      <c r="V25" s="21"/>
      <c r="W25" s="21"/>
      <c r="X25" s="21"/>
      <c r="Y25" s="7"/>
      <c r="Z25" s="21"/>
      <c r="AA25" s="10"/>
      <c r="AB25" s="21"/>
      <c r="AC25" s="6"/>
      <c r="AD25" s="6"/>
      <c r="AE25" s="6"/>
      <c r="AF25" s="6"/>
    </row>
    <row r="26" spans="1:52" s="14" customFormat="1" ht="11.25" x14ac:dyDescent="0.2">
      <c r="A26" s="4"/>
      <c r="B26" s="20"/>
      <c r="C26" s="6"/>
      <c r="D26" s="124" t="s">
        <v>56</v>
      </c>
      <c r="E26" s="125"/>
      <c r="F26" s="125"/>
      <c r="G26" s="125"/>
      <c r="H26" s="125"/>
      <c r="I26" s="126"/>
      <c r="J26" s="127" t="s">
        <v>57</v>
      </c>
      <c r="K26" s="128"/>
      <c r="L26" s="128"/>
      <c r="M26" s="128"/>
      <c r="N26" s="129"/>
      <c r="O26" s="7"/>
      <c r="P26" s="21"/>
      <c r="Q26" s="7"/>
      <c r="R26" s="21"/>
      <c r="S26" s="21"/>
      <c r="T26" s="21"/>
      <c r="U26" s="9"/>
      <c r="V26" s="21"/>
      <c r="W26" s="7"/>
      <c r="X26" s="21"/>
      <c r="Y26" s="10"/>
      <c r="Z26" s="21"/>
      <c r="AA26" s="6"/>
      <c r="AB26" s="6"/>
      <c r="AC26" s="6"/>
      <c r="AD26" s="6"/>
      <c r="AE26" s="6"/>
      <c r="AF26" s="6"/>
    </row>
    <row r="27" spans="1:52" s="14" customFormat="1" ht="22.5" x14ac:dyDescent="0.2">
      <c r="A27" s="4"/>
      <c r="B27" s="22"/>
      <c r="C27" s="6"/>
      <c r="D27" s="23" t="s">
        <v>58</v>
      </c>
      <c r="E27" s="24" t="s">
        <v>59</v>
      </c>
      <c r="F27" s="24" t="s">
        <v>60</v>
      </c>
      <c r="G27" s="23" t="s">
        <v>61</v>
      </c>
      <c r="H27" s="24" t="s">
        <v>62</v>
      </c>
      <c r="I27" s="23" t="s">
        <v>63</v>
      </c>
      <c r="J27" s="23" t="s">
        <v>64</v>
      </c>
      <c r="K27" s="24" t="s">
        <v>65</v>
      </c>
      <c r="L27" s="23" t="s">
        <v>66</v>
      </c>
      <c r="M27" s="24" t="s">
        <v>67</v>
      </c>
      <c r="N27" s="23" t="s">
        <v>68</v>
      </c>
      <c r="O27" s="6"/>
      <c r="P27" s="6"/>
      <c r="Q27" s="6"/>
      <c r="R27" s="6"/>
      <c r="S27" s="6"/>
      <c r="T27" s="6"/>
      <c r="U27" s="9"/>
      <c r="V27" s="6"/>
      <c r="W27" s="6"/>
      <c r="X27" s="6"/>
      <c r="Y27" s="6"/>
      <c r="Z27" s="6"/>
      <c r="AA27" s="6"/>
    </row>
    <row r="28" spans="1:52" s="14" customFormat="1" ht="11.25" x14ac:dyDescent="0.2">
      <c r="A28" s="4">
        <f t="shared" ref="A28:C43" si="3">A2</f>
        <v>60005010</v>
      </c>
      <c r="B28" s="4" t="str">
        <f t="shared" si="3"/>
        <v xml:space="preserve"> 2002-03</v>
      </c>
      <c r="C28" s="14" t="str">
        <f t="shared" si="3"/>
        <v>Western Carolina University</v>
      </c>
      <c r="D28" s="25"/>
      <c r="E28" s="26">
        <f t="shared" ref="E28:E50" si="4">IF(AA2=0,0,E2/AA2)</f>
        <v>1.136282143054264</v>
      </c>
      <c r="F28" s="26">
        <f t="shared" ref="F28:F50" si="5">IF(F2=0,0,E2/(F2/1000000))</f>
        <v>6.3620696956746494</v>
      </c>
      <c r="G28" s="27"/>
      <c r="H28" s="28">
        <f t="shared" ref="H28:H50" si="6">IF(AA2=0,0,F2/AA2)</f>
        <v>178602.59277366652</v>
      </c>
      <c r="I28" s="27"/>
      <c r="J28" s="29"/>
      <c r="K28" s="30">
        <f t="shared" ref="K28:K50" si="7">IF(Y2=0,0,Z2/Y2)</f>
        <v>3.2730386052303859</v>
      </c>
      <c r="L28" s="29"/>
      <c r="M28" s="31">
        <f t="shared" ref="M28:M50" si="8">IF(AA2=0,0,(Y2*1000)/AA2)</f>
        <v>51.821188538336457</v>
      </c>
      <c r="N28" s="29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52" s="14" customFormat="1" ht="11.25" x14ac:dyDescent="0.2">
      <c r="A29" s="4">
        <f t="shared" si="3"/>
        <v>60005010</v>
      </c>
      <c r="B29" s="4" t="str">
        <f t="shared" si="3"/>
        <v xml:space="preserve"> 2003-04</v>
      </c>
      <c r="C29" s="14" t="str">
        <f t="shared" si="3"/>
        <v>Western Carolina University</v>
      </c>
      <c r="D29" s="32">
        <f t="shared" ref="D29:D50" si="9">($H$28-H29)*F29*(AA3/1000000)</f>
        <v>910203.6501550281</v>
      </c>
      <c r="E29" s="26">
        <f t="shared" si="4"/>
        <v>1.2553749877936426</v>
      </c>
      <c r="F29" s="26">
        <f t="shared" si="5"/>
        <v>9.1925832437496044</v>
      </c>
      <c r="G29" s="33">
        <f>IF(F29=0,0,(F29/$F$28)-1)</f>
        <v>0.4449045174716213</v>
      </c>
      <c r="H29" s="28">
        <f t="shared" si="6"/>
        <v>136563.89662255396</v>
      </c>
      <c r="I29" s="34">
        <f>IF(H29=0,0,(H29/$H$28)-1)</f>
        <v>-0.23537562080291818</v>
      </c>
      <c r="J29" s="35">
        <f t="shared" ref="J29:J50" si="10">($M$28-M29)*K29*(AA3/1000)</f>
        <v>18863.531297802328</v>
      </c>
      <c r="K29" s="30">
        <f t="shared" si="7"/>
        <v>2.9729757758553639</v>
      </c>
      <c r="L29" s="33">
        <f>IF(K29=0,0,(K29/$K$28)-1)</f>
        <v>-9.1677143341821643E-2</v>
      </c>
      <c r="M29" s="31">
        <f t="shared" si="8"/>
        <v>49.127298510187529</v>
      </c>
      <c r="N29" s="33">
        <f>IF(M29=0,0,(M29/$M$28)-1)</f>
        <v>-5.1984335059317099E-2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52" s="14" customFormat="1" ht="11.25" x14ac:dyDescent="0.2">
      <c r="A30" s="4">
        <f t="shared" si="3"/>
        <v>60005010</v>
      </c>
      <c r="B30" s="4" t="str">
        <f t="shared" si="3"/>
        <v xml:space="preserve"> 2004-05</v>
      </c>
      <c r="C30" s="14" t="str">
        <f t="shared" si="3"/>
        <v>Western Carolina University</v>
      </c>
      <c r="D30" s="32">
        <f t="shared" si="9"/>
        <v>1277351.0706066135</v>
      </c>
      <c r="E30" s="26">
        <f t="shared" si="4"/>
        <v>1.2466272560724267</v>
      </c>
      <c r="F30" s="26">
        <f t="shared" si="5"/>
        <v>9.5956960181695603</v>
      </c>
      <c r="G30" s="33">
        <f t="shared" ref="G30:G50" si="11">IF(F30=0,0,(F30/$F$28)-1)</f>
        <v>0.50826640970207237</v>
      </c>
      <c r="H30" s="28">
        <f t="shared" si="6"/>
        <v>129915.25093249348</v>
      </c>
      <c r="I30" s="34">
        <f t="shared" ref="I30:I50" si="12">IF(H30=0,0,(H30/$H$28)-1)</f>
        <v>-0.27260154001723758</v>
      </c>
      <c r="J30" s="35">
        <f t="shared" si="10"/>
        <v>31951.334891255647</v>
      </c>
      <c r="K30" s="30">
        <f t="shared" si="7"/>
        <v>2.980979941511984</v>
      </c>
      <c r="L30" s="33">
        <f t="shared" ref="L30:L50" si="13">IF(K30=0,0,(K30/$K$28)-1)</f>
        <v>-8.9231658695282712E-2</v>
      </c>
      <c r="M30" s="31">
        <f t="shared" si="8"/>
        <v>47.900952445045412</v>
      </c>
      <c r="N30" s="33">
        <f t="shared" ref="N30:N50" si="14">IF(M30=0,0,(M30/$M$28)-1)</f>
        <v>-7.5649289486884652E-2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52" s="14" customFormat="1" ht="11.25" x14ac:dyDescent="0.2">
      <c r="A31" s="4">
        <f t="shared" si="3"/>
        <v>60005010</v>
      </c>
      <c r="B31" s="4" t="str">
        <f t="shared" si="3"/>
        <v>2005-06</v>
      </c>
      <c r="C31" s="14" t="str">
        <f t="shared" si="3"/>
        <v>Western Carolina University</v>
      </c>
      <c r="D31" s="32">
        <f t="shared" si="9"/>
        <v>2191110.0264938013</v>
      </c>
      <c r="E31" s="26">
        <f t="shared" si="4"/>
        <v>1.4859499634434614</v>
      </c>
      <c r="F31" s="26">
        <f t="shared" si="5"/>
        <v>12.806894955323768</v>
      </c>
      <c r="G31" s="33">
        <f t="shared" si="11"/>
        <v>1.0130076481291508</v>
      </c>
      <c r="H31" s="28">
        <f t="shared" si="6"/>
        <v>116027.34063386369</v>
      </c>
      <c r="I31" s="34">
        <f t="shared" si="12"/>
        <v>-0.35036026727283343</v>
      </c>
      <c r="J31" s="35">
        <f t="shared" si="10"/>
        <v>59161.073620367853</v>
      </c>
      <c r="K31" s="30">
        <f t="shared" si="7"/>
        <v>2.692395081529003</v>
      </c>
      <c r="L31" s="33">
        <f t="shared" si="13"/>
        <v>-0.17740197832482085</v>
      </c>
      <c r="M31" s="31">
        <f t="shared" si="8"/>
        <v>43.784455772074459</v>
      </c>
      <c r="N31" s="33">
        <f t="shared" si="14"/>
        <v>-0.15508584409090809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52" s="14" customFormat="1" ht="11.25" x14ac:dyDescent="0.2">
      <c r="A32" s="4">
        <f t="shared" si="3"/>
        <v>60005010</v>
      </c>
      <c r="B32" s="4" t="str">
        <f t="shared" si="3"/>
        <v xml:space="preserve"> 2006-07</v>
      </c>
      <c r="C32" s="14" t="str">
        <f t="shared" si="3"/>
        <v>Western Carolina University</v>
      </c>
      <c r="D32" s="32">
        <f t="shared" si="9"/>
        <v>1843858.137148893</v>
      </c>
      <c r="E32" s="26">
        <f t="shared" si="4"/>
        <v>1.4348143535628219</v>
      </c>
      <c r="F32" s="26">
        <f t="shared" si="5"/>
        <v>11.664471325742749</v>
      </c>
      <c r="G32" s="33">
        <f t="shared" si="11"/>
        <v>0.83343972696071189</v>
      </c>
      <c r="H32" s="28">
        <f t="shared" si="6"/>
        <v>123007.23397521478</v>
      </c>
      <c r="I32" s="34">
        <f t="shared" si="12"/>
        <v>-0.31127968488623647</v>
      </c>
      <c r="J32" s="35">
        <f t="shared" si="10"/>
        <v>88592.416844918713</v>
      </c>
      <c r="K32" s="30">
        <f t="shared" si="7"/>
        <v>2.8036817141129209</v>
      </c>
      <c r="L32" s="33">
        <f t="shared" si="13"/>
        <v>-0.14340096397501167</v>
      </c>
      <c r="M32" s="31">
        <f t="shared" si="8"/>
        <v>40.707865626938762</v>
      </c>
      <c r="N32" s="33">
        <f t="shared" si="14"/>
        <v>-0.21445519149326808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44" s="14" customFormat="1" ht="11.25" x14ac:dyDescent="0.2">
      <c r="A33" s="4">
        <f t="shared" si="3"/>
        <v>60005010</v>
      </c>
      <c r="B33" s="4" t="str">
        <f t="shared" si="3"/>
        <v xml:space="preserve"> 2007-08</v>
      </c>
      <c r="C33" s="14" t="str">
        <f t="shared" si="3"/>
        <v>Western Carolina University</v>
      </c>
      <c r="D33" s="32">
        <f t="shared" si="9"/>
        <v>1872201.5589075168</v>
      </c>
      <c r="E33" s="26">
        <f t="shared" si="4"/>
        <v>1.6322938752284781</v>
      </c>
      <c r="F33" s="26">
        <f t="shared" si="5"/>
        <v>12.895410567700505</v>
      </c>
      <c r="G33" s="33">
        <f t="shared" si="11"/>
        <v>1.0269206696159974</v>
      </c>
      <c r="H33" s="28">
        <f t="shared" si="6"/>
        <v>126579.44209368022</v>
      </c>
      <c r="I33" s="34">
        <f t="shared" si="12"/>
        <v>-0.29127880996617139</v>
      </c>
      <c r="J33" s="35">
        <f t="shared" si="10"/>
        <v>91451.975200294168</v>
      </c>
      <c r="K33" s="30">
        <f t="shared" si="7"/>
        <v>2.8654919480058556</v>
      </c>
      <c r="L33" s="33">
        <f t="shared" si="13"/>
        <v>-0.12451630010512615</v>
      </c>
      <c r="M33" s="31">
        <f t="shared" si="8"/>
        <v>40.385215581910089</v>
      </c>
      <c r="N33" s="33">
        <f t="shared" si="14"/>
        <v>-0.22068141003686603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44" s="14" customFormat="1" ht="11.25" x14ac:dyDescent="0.2">
      <c r="A34" s="4">
        <f t="shared" si="3"/>
        <v>60005010</v>
      </c>
      <c r="B34" s="4" t="str">
        <f t="shared" si="3"/>
        <v>2008-09</v>
      </c>
      <c r="C34" s="14" t="str">
        <f t="shared" si="3"/>
        <v>Western Carolina University</v>
      </c>
      <c r="D34" s="32">
        <f t="shared" si="9"/>
        <v>1848357.5136101004</v>
      </c>
      <c r="E34" s="26">
        <f t="shared" si="4"/>
        <v>1.4255438312623585</v>
      </c>
      <c r="F34" s="26">
        <f t="shared" si="5"/>
        <v>11.595193096073844</v>
      </c>
      <c r="G34" s="33">
        <f t="shared" si="11"/>
        <v>0.82255046717847402</v>
      </c>
      <c r="H34" s="28">
        <f t="shared" si="6"/>
        <v>122942.65558587811</v>
      </c>
      <c r="I34" s="34">
        <f t="shared" si="12"/>
        <v>-0.31164126076446863</v>
      </c>
      <c r="J34" s="35">
        <f t="shared" si="10"/>
        <v>136261.24738885849</v>
      </c>
      <c r="K34" s="30">
        <f t="shared" si="7"/>
        <v>3.1</v>
      </c>
      <c r="L34" s="33">
        <f t="shared" si="13"/>
        <v>-5.2867877865499846E-2</v>
      </c>
      <c r="M34" s="31">
        <f t="shared" si="8"/>
        <v>36.473414854803629</v>
      </c>
      <c r="N34" s="33">
        <f t="shared" si="14"/>
        <v>-0.2961679212003947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44" s="14" customFormat="1" ht="11.25" x14ac:dyDescent="0.2">
      <c r="A35" s="4">
        <f t="shared" si="3"/>
        <v>60005010</v>
      </c>
      <c r="B35" s="4" t="str">
        <f t="shared" si="3"/>
        <v>2009-10</v>
      </c>
      <c r="C35" s="14" t="str">
        <f t="shared" si="3"/>
        <v>Western Carolina University</v>
      </c>
      <c r="D35" s="32">
        <f t="shared" si="9"/>
        <v>1972725.4151736449</v>
      </c>
      <c r="E35" s="26">
        <f t="shared" si="4"/>
        <v>1.3874956001294774</v>
      </c>
      <c r="F35" s="26">
        <f t="shared" si="5"/>
        <v>11.714867457574567</v>
      </c>
      <c r="G35" s="33">
        <f t="shared" si="11"/>
        <v>0.84136106926635823</v>
      </c>
      <c r="H35" s="28">
        <f t="shared" si="6"/>
        <v>118438.8645585874</v>
      </c>
      <c r="I35" s="34">
        <f t="shared" si="12"/>
        <v>-0.33685808968810094</v>
      </c>
      <c r="J35" s="35">
        <f t="shared" si="10"/>
        <v>158778.06834526596</v>
      </c>
      <c r="K35" s="30">
        <f t="shared" si="7"/>
        <v>3.1892939323955485</v>
      </c>
      <c r="L35" s="33">
        <f t="shared" si="13"/>
        <v>-2.5586216032102871E-2</v>
      </c>
      <c r="M35" s="31">
        <f t="shared" si="8"/>
        <v>34.034240031783391</v>
      </c>
      <c r="N35" s="33">
        <f t="shared" si="14"/>
        <v>-0.34323698487530008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44" s="14" customFormat="1" ht="11.25" x14ac:dyDescent="0.2">
      <c r="A36" s="4">
        <f t="shared" si="3"/>
        <v>60005010</v>
      </c>
      <c r="B36" s="4" t="str">
        <f t="shared" si="3"/>
        <v>2010-11</v>
      </c>
      <c r="C36" s="14" t="str">
        <f t="shared" si="3"/>
        <v>Western Carolina University</v>
      </c>
      <c r="D36" s="32">
        <f t="shared" si="9"/>
        <v>1807292.0193794155</v>
      </c>
      <c r="E36" s="26">
        <f t="shared" si="4"/>
        <v>1.3299820556823443</v>
      </c>
      <c r="F36" s="26">
        <f t="shared" si="5"/>
        <v>10.922476552134762</v>
      </c>
      <c r="G36" s="33">
        <f t="shared" si="11"/>
        <v>0.71681183555102757</v>
      </c>
      <c r="H36" s="28">
        <f t="shared" si="6"/>
        <v>121765.61325942179</v>
      </c>
      <c r="I36" s="34">
        <f t="shared" si="12"/>
        <v>-0.31823154765883599</v>
      </c>
      <c r="J36" s="35">
        <f t="shared" si="10"/>
        <v>172632.9184860914</v>
      </c>
      <c r="K36" s="30">
        <f t="shared" si="7"/>
        <v>3.1574208841019669</v>
      </c>
      <c r="L36" s="33">
        <f t="shared" si="13"/>
        <v>-3.5324276635069207E-2</v>
      </c>
      <c r="M36" s="31">
        <f t="shared" si="8"/>
        <v>33.040352730875078</v>
      </c>
      <c r="N36" s="33">
        <f t="shared" si="14"/>
        <v>-0.36241615326070009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44" s="14" customFormat="1" ht="11.25" x14ac:dyDescent="0.2">
      <c r="A37" s="4">
        <f t="shared" si="3"/>
        <v>60005010</v>
      </c>
      <c r="B37" s="4" t="str">
        <f t="shared" si="3"/>
        <v>2011-12</v>
      </c>
      <c r="C37" s="14" t="str">
        <f t="shared" si="3"/>
        <v>Western Carolina University</v>
      </c>
      <c r="D37" s="32">
        <f t="shared" si="9"/>
        <v>2117159.5716085769</v>
      </c>
      <c r="E37" s="26">
        <f t="shared" si="4"/>
        <v>1.3386983241584749</v>
      </c>
      <c r="F37" s="26">
        <f t="shared" si="5"/>
        <v>11.507169367426698</v>
      </c>
      <c r="G37" s="33">
        <f t="shared" si="11"/>
        <v>0.80871476074052184</v>
      </c>
      <c r="H37" s="28">
        <f t="shared" si="6"/>
        <v>116336.0233445354</v>
      </c>
      <c r="I37" s="34">
        <f t="shared" si="12"/>
        <v>-0.34863194571894152</v>
      </c>
      <c r="J37" s="35">
        <f t="shared" si="10"/>
        <v>154129.90590654471</v>
      </c>
      <c r="K37" s="30">
        <f t="shared" si="7"/>
        <v>3.210974591185396</v>
      </c>
      <c r="L37" s="33">
        <f t="shared" si="13"/>
        <v>-1.8962200429231246E-2</v>
      </c>
      <c r="M37" s="31">
        <f t="shared" si="8"/>
        <v>35.576181783354215</v>
      </c>
      <c r="N37" s="33">
        <f t="shared" si="14"/>
        <v>-0.31348194075024838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44" s="14" customFormat="1" ht="11.25" x14ac:dyDescent="0.2">
      <c r="A38" s="4">
        <f t="shared" si="3"/>
        <v>60005010</v>
      </c>
      <c r="B38" s="4" t="str">
        <f t="shared" si="3"/>
        <v>2012-13</v>
      </c>
      <c r="C38" s="14" t="str">
        <f t="shared" si="3"/>
        <v>Western Carolina University</v>
      </c>
      <c r="D38" s="32">
        <f t="shared" si="9"/>
        <v>2320034.3537034984</v>
      </c>
      <c r="E38" s="26">
        <f t="shared" si="4"/>
        <v>1.2970404225934442</v>
      </c>
      <c r="F38" s="26">
        <f t="shared" si="5"/>
        <v>11.444985072810807</v>
      </c>
      <c r="G38" s="33">
        <f t="shared" si="11"/>
        <v>0.79894053669230569</v>
      </c>
      <c r="H38" s="28">
        <f t="shared" si="6"/>
        <v>113328.27560210178</v>
      </c>
      <c r="I38" s="34">
        <f t="shared" si="12"/>
        <v>-0.36547239408939247</v>
      </c>
      <c r="J38" s="35">
        <f t="shared" si="10"/>
        <v>199645.99764687967</v>
      </c>
      <c r="K38" s="30">
        <f t="shared" si="7"/>
        <v>3.1388703548178092</v>
      </c>
      <c r="L38" s="33">
        <f t="shared" si="13"/>
        <v>-4.0991954753657023E-2</v>
      </c>
      <c r="M38" s="31">
        <f t="shared" si="8"/>
        <v>31.340225107533701</v>
      </c>
      <c r="N38" s="33">
        <f t="shared" si="14"/>
        <v>-0.39522373007039924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44" s="14" customFormat="1" ht="11.25" x14ac:dyDescent="0.2">
      <c r="A39" s="4">
        <f t="shared" si="3"/>
        <v>60005010</v>
      </c>
      <c r="B39" s="4" t="str">
        <f t="shared" si="3"/>
        <v>2013-14</v>
      </c>
      <c r="C39" s="14" t="str">
        <f t="shared" si="3"/>
        <v>Western Carolina University</v>
      </c>
      <c r="D39" s="32">
        <f t="shared" si="9"/>
        <v>2511635.5164255006</v>
      </c>
      <c r="E39" s="26">
        <f t="shared" si="4"/>
        <v>1.4860159898943355</v>
      </c>
      <c r="F39" s="26">
        <f t="shared" si="5"/>
        <v>12.851901381473645</v>
      </c>
      <c r="G39" s="33">
        <f t="shared" si="11"/>
        <v>1.0200818281213122</v>
      </c>
      <c r="H39" s="28">
        <f t="shared" si="6"/>
        <v>115626.15879051691</v>
      </c>
      <c r="I39" s="34">
        <f t="shared" si="12"/>
        <v>-0.35260649358520935</v>
      </c>
      <c r="J39" s="35">
        <f t="shared" si="10"/>
        <v>219062.63312673813</v>
      </c>
      <c r="K39" s="30">
        <f t="shared" si="7"/>
        <v>3.396528925619835</v>
      </c>
      <c r="L39" s="33">
        <f t="shared" si="13"/>
        <v>3.7729564262428461E-2</v>
      </c>
      <c r="M39" s="31">
        <f t="shared" si="8"/>
        <v>31.037538548793023</v>
      </c>
      <c r="N39" s="33">
        <f t="shared" si="14"/>
        <v>-0.40106471070550676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44" s="14" customFormat="1" ht="11.25" x14ac:dyDescent="0.2">
      <c r="A40" s="4">
        <f t="shared" si="3"/>
        <v>60005010</v>
      </c>
      <c r="B40" s="4" t="str">
        <f t="shared" si="3"/>
        <v>2014-15</v>
      </c>
      <c r="C40" s="14" t="str">
        <f t="shared" si="3"/>
        <v>Western Carolina University</v>
      </c>
      <c r="D40" s="32">
        <f t="shared" si="9"/>
        <v>2242032.0060097696</v>
      </c>
      <c r="E40" s="26">
        <f t="shared" si="4"/>
        <v>1.3899617235056603</v>
      </c>
      <c r="F40" s="26">
        <f t="shared" si="5"/>
        <v>11.827654330170132</v>
      </c>
      <c r="G40" s="33">
        <f t="shared" si="11"/>
        <v>0.85908908514651205</v>
      </c>
      <c r="H40" s="28">
        <f t="shared" si="6"/>
        <v>117517.95281674138</v>
      </c>
      <c r="I40" s="34">
        <f t="shared" si="12"/>
        <v>-0.34201429558379604</v>
      </c>
      <c r="J40" s="35">
        <f t="shared" si="10"/>
        <v>239540.29803964941</v>
      </c>
      <c r="K40" s="30">
        <f t="shared" si="7"/>
        <v>3.7830349272281887</v>
      </c>
      <c r="L40" s="33">
        <f t="shared" si="13"/>
        <v>0.15581738668857059</v>
      </c>
      <c r="M40" s="31">
        <f t="shared" si="8"/>
        <v>31.41663632174426</v>
      </c>
      <c r="N40" s="33">
        <f t="shared" si="14"/>
        <v>-0.39374921324888656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44" s="14" customFormat="1" ht="11.25" x14ac:dyDescent="0.2">
      <c r="A41" s="4">
        <f t="shared" si="3"/>
        <v>60005010</v>
      </c>
      <c r="B41" s="4" t="str">
        <f t="shared" si="3"/>
        <v>2015-16</v>
      </c>
      <c r="C41" s="14" t="str">
        <f t="shared" si="3"/>
        <v>Western Carolina University</v>
      </c>
      <c r="D41" s="32">
        <f t="shared" si="9"/>
        <v>0</v>
      </c>
      <c r="E41" s="26">
        <f t="shared" si="4"/>
        <v>0</v>
      </c>
      <c r="F41" s="26">
        <f t="shared" si="5"/>
        <v>0</v>
      </c>
      <c r="G41" s="33">
        <f t="shared" si="11"/>
        <v>0</v>
      </c>
      <c r="H41" s="28">
        <f t="shared" si="6"/>
        <v>0</v>
      </c>
      <c r="I41" s="34">
        <f t="shared" si="12"/>
        <v>0</v>
      </c>
      <c r="J41" s="35">
        <f t="shared" si="10"/>
        <v>0</v>
      </c>
      <c r="K41" s="30">
        <f t="shared" si="7"/>
        <v>0</v>
      </c>
      <c r="L41" s="33">
        <f t="shared" si="13"/>
        <v>0</v>
      </c>
      <c r="M41" s="31">
        <f t="shared" si="8"/>
        <v>0</v>
      </c>
      <c r="N41" s="33">
        <f t="shared" si="14"/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44" s="6" customFormat="1" ht="11.25" x14ac:dyDescent="0.2">
      <c r="A42" s="4">
        <f t="shared" si="3"/>
        <v>60005010</v>
      </c>
      <c r="B42" s="4" t="str">
        <f t="shared" si="3"/>
        <v>2016-14</v>
      </c>
      <c r="C42" s="14" t="str">
        <f t="shared" si="3"/>
        <v>Western Carolina University</v>
      </c>
      <c r="D42" s="32">
        <f t="shared" si="9"/>
        <v>0</v>
      </c>
      <c r="E42" s="26">
        <f t="shared" si="4"/>
        <v>0</v>
      </c>
      <c r="F42" s="26">
        <f t="shared" si="5"/>
        <v>0</v>
      </c>
      <c r="G42" s="33">
        <f t="shared" si="11"/>
        <v>0</v>
      </c>
      <c r="H42" s="28">
        <f t="shared" si="6"/>
        <v>0</v>
      </c>
      <c r="I42" s="34">
        <f t="shared" si="12"/>
        <v>0</v>
      </c>
      <c r="J42" s="35">
        <f t="shared" si="10"/>
        <v>0</v>
      </c>
      <c r="K42" s="30">
        <f t="shared" si="7"/>
        <v>0</v>
      </c>
      <c r="L42" s="33">
        <f t="shared" si="13"/>
        <v>0</v>
      </c>
      <c r="M42" s="31">
        <f t="shared" si="8"/>
        <v>0</v>
      </c>
      <c r="N42" s="33">
        <f t="shared" si="14"/>
        <v>0</v>
      </c>
      <c r="AB42" s="14"/>
      <c r="AC42" s="14"/>
      <c r="AD42" s="14"/>
      <c r="AE42" s="14"/>
      <c r="AF42" s="14"/>
    </row>
    <row r="43" spans="1:44" s="14" customFormat="1" ht="11.25" x14ac:dyDescent="0.2">
      <c r="A43" s="4">
        <f t="shared" si="3"/>
        <v>60005010</v>
      </c>
      <c r="B43" s="4" t="str">
        <f t="shared" si="3"/>
        <v>2017-18</v>
      </c>
      <c r="C43" s="14" t="str">
        <f t="shared" si="3"/>
        <v>Western Carolina University</v>
      </c>
      <c r="D43" s="32">
        <f t="shared" si="9"/>
        <v>0</v>
      </c>
      <c r="E43" s="26">
        <f t="shared" si="4"/>
        <v>0</v>
      </c>
      <c r="F43" s="26">
        <f t="shared" si="5"/>
        <v>0</v>
      </c>
      <c r="G43" s="33">
        <f t="shared" si="11"/>
        <v>0</v>
      </c>
      <c r="H43" s="28">
        <f t="shared" si="6"/>
        <v>0</v>
      </c>
      <c r="I43" s="34">
        <f t="shared" si="12"/>
        <v>0</v>
      </c>
      <c r="J43" s="35">
        <f t="shared" si="10"/>
        <v>0</v>
      </c>
      <c r="K43" s="30">
        <f t="shared" si="7"/>
        <v>0</v>
      </c>
      <c r="L43" s="33">
        <f t="shared" si="13"/>
        <v>0</v>
      </c>
      <c r="M43" s="31">
        <f t="shared" si="8"/>
        <v>0</v>
      </c>
      <c r="N43" s="33">
        <f t="shared" si="14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44" s="14" customFormat="1" ht="11.25" x14ac:dyDescent="0.2">
      <c r="A44" s="4">
        <f t="shared" ref="A44:C50" si="15">A18</f>
        <v>60005010</v>
      </c>
      <c r="B44" s="4" t="str">
        <f t="shared" si="15"/>
        <v>2018-19</v>
      </c>
      <c r="C44" s="14" t="str">
        <f t="shared" si="15"/>
        <v>Western Carolina University</v>
      </c>
      <c r="D44" s="32">
        <f t="shared" si="9"/>
        <v>0</v>
      </c>
      <c r="E44" s="26">
        <f t="shared" si="4"/>
        <v>0</v>
      </c>
      <c r="F44" s="26">
        <f t="shared" si="5"/>
        <v>0</v>
      </c>
      <c r="G44" s="33">
        <f t="shared" si="11"/>
        <v>0</v>
      </c>
      <c r="H44" s="28">
        <f t="shared" si="6"/>
        <v>0</v>
      </c>
      <c r="I44" s="34">
        <f t="shared" si="12"/>
        <v>0</v>
      </c>
      <c r="J44" s="35">
        <f t="shared" si="10"/>
        <v>0</v>
      </c>
      <c r="K44" s="30">
        <f t="shared" si="7"/>
        <v>0</v>
      </c>
      <c r="L44" s="33">
        <f t="shared" si="13"/>
        <v>0</v>
      </c>
      <c r="M44" s="31">
        <f t="shared" si="8"/>
        <v>0</v>
      </c>
      <c r="N44" s="33">
        <f t="shared" si="14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spans="1:44" s="14" customFormat="1" ht="11.25" x14ac:dyDescent="0.2">
      <c r="A45" s="4">
        <f t="shared" si="15"/>
        <v>60005010</v>
      </c>
      <c r="B45" s="4" t="str">
        <f t="shared" si="15"/>
        <v>2019-20</v>
      </c>
      <c r="C45" s="14" t="str">
        <f t="shared" si="15"/>
        <v>Western Carolina University</v>
      </c>
      <c r="D45" s="32">
        <f t="shared" si="9"/>
        <v>0</v>
      </c>
      <c r="E45" s="26">
        <f t="shared" si="4"/>
        <v>0</v>
      </c>
      <c r="F45" s="26">
        <f t="shared" si="5"/>
        <v>0</v>
      </c>
      <c r="G45" s="33">
        <f t="shared" si="11"/>
        <v>0</v>
      </c>
      <c r="H45" s="28">
        <f t="shared" si="6"/>
        <v>0</v>
      </c>
      <c r="I45" s="34">
        <f t="shared" si="12"/>
        <v>0</v>
      </c>
      <c r="J45" s="35">
        <f t="shared" si="10"/>
        <v>0</v>
      </c>
      <c r="K45" s="30">
        <f t="shared" si="7"/>
        <v>0</v>
      </c>
      <c r="L45" s="33">
        <f t="shared" si="13"/>
        <v>0</v>
      </c>
      <c r="M45" s="31">
        <f t="shared" si="8"/>
        <v>0</v>
      </c>
      <c r="N45" s="33">
        <f t="shared" si="14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1:44" s="14" customFormat="1" ht="11.25" x14ac:dyDescent="0.2">
      <c r="A46" s="4">
        <f t="shared" si="15"/>
        <v>60005010</v>
      </c>
      <c r="B46" s="4" t="str">
        <f t="shared" si="15"/>
        <v>2020-21</v>
      </c>
      <c r="C46" s="14" t="str">
        <f t="shared" si="15"/>
        <v>Western Carolina University</v>
      </c>
      <c r="D46" s="32">
        <f t="shared" si="9"/>
        <v>0</v>
      </c>
      <c r="E46" s="26">
        <f t="shared" si="4"/>
        <v>0</v>
      </c>
      <c r="F46" s="26">
        <f t="shared" si="5"/>
        <v>0</v>
      </c>
      <c r="G46" s="33">
        <f t="shared" si="11"/>
        <v>0</v>
      </c>
      <c r="H46" s="28">
        <f t="shared" si="6"/>
        <v>0</v>
      </c>
      <c r="I46" s="34">
        <f t="shared" si="12"/>
        <v>0</v>
      </c>
      <c r="J46" s="35">
        <f t="shared" si="10"/>
        <v>0</v>
      </c>
      <c r="K46" s="30">
        <f t="shared" si="7"/>
        <v>0</v>
      </c>
      <c r="L46" s="33">
        <f t="shared" si="13"/>
        <v>0</v>
      </c>
      <c r="M46" s="31">
        <f t="shared" si="8"/>
        <v>0</v>
      </c>
      <c r="N46" s="33">
        <f t="shared" si="14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4" s="14" customFormat="1" ht="11.25" x14ac:dyDescent="0.2">
      <c r="A47" s="4">
        <f t="shared" si="15"/>
        <v>60005010</v>
      </c>
      <c r="B47" s="4" t="str">
        <f t="shared" si="15"/>
        <v>2021-22</v>
      </c>
      <c r="C47" s="14" t="str">
        <f t="shared" si="15"/>
        <v>Western Carolina University</v>
      </c>
      <c r="D47" s="32">
        <f t="shared" si="9"/>
        <v>0</v>
      </c>
      <c r="E47" s="26">
        <f t="shared" si="4"/>
        <v>0</v>
      </c>
      <c r="F47" s="26">
        <f t="shared" si="5"/>
        <v>0</v>
      </c>
      <c r="G47" s="33">
        <f t="shared" si="11"/>
        <v>0</v>
      </c>
      <c r="H47" s="28">
        <f t="shared" si="6"/>
        <v>0</v>
      </c>
      <c r="I47" s="34">
        <f t="shared" si="12"/>
        <v>0</v>
      </c>
      <c r="J47" s="35">
        <f t="shared" si="10"/>
        <v>0</v>
      </c>
      <c r="K47" s="30">
        <f t="shared" si="7"/>
        <v>0</v>
      </c>
      <c r="L47" s="33">
        <f t="shared" si="13"/>
        <v>0</v>
      </c>
      <c r="M47" s="31">
        <f t="shared" si="8"/>
        <v>0</v>
      </c>
      <c r="N47" s="33">
        <f t="shared" si="14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spans="1:44" s="14" customFormat="1" ht="11.25" x14ac:dyDescent="0.2">
      <c r="A48" s="4">
        <f t="shared" si="15"/>
        <v>60005010</v>
      </c>
      <c r="B48" s="4" t="str">
        <f t="shared" si="15"/>
        <v>2022-23</v>
      </c>
      <c r="C48" s="14" t="str">
        <f t="shared" si="15"/>
        <v>Western Carolina University</v>
      </c>
      <c r="D48" s="32">
        <f t="shared" si="9"/>
        <v>0</v>
      </c>
      <c r="E48" s="26">
        <f t="shared" si="4"/>
        <v>0</v>
      </c>
      <c r="F48" s="26">
        <f t="shared" si="5"/>
        <v>0</v>
      </c>
      <c r="G48" s="33">
        <f t="shared" si="11"/>
        <v>0</v>
      </c>
      <c r="H48" s="28">
        <f t="shared" si="6"/>
        <v>0</v>
      </c>
      <c r="I48" s="34">
        <f t="shared" si="12"/>
        <v>0</v>
      </c>
      <c r="J48" s="35">
        <f t="shared" si="10"/>
        <v>0</v>
      </c>
      <c r="K48" s="30">
        <f t="shared" si="7"/>
        <v>0</v>
      </c>
      <c r="L48" s="33">
        <f t="shared" si="13"/>
        <v>0</v>
      </c>
      <c r="M48" s="31">
        <f t="shared" si="8"/>
        <v>0</v>
      </c>
      <c r="N48" s="33">
        <f t="shared" si="14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spans="1:52" s="14" customFormat="1" ht="11.25" x14ac:dyDescent="0.2">
      <c r="A49" s="4">
        <f t="shared" si="15"/>
        <v>60005010</v>
      </c>
      <c r="B49" s="4" t="str">
        <f t="shared" si="15"/>
        <v>2023-24</v>
      </c>
      <c r="C49" s="14" t="str">
        <f t="shared" si="15"/>
        <v>Western Carolina University</v>
      </c>
      <c r="D49" s="32">
        <f t="shared" si="9"/>
        <v>0</v>
      </c>
      <c r="E49" s="26">
        <f t="shared" si="4"/>
        <v>0</v>
      </c>
      <c r="F49" s="26">
        <f t="shared" si="5"/>
        <v>0</v>
      </c>
      <c r="G49" s="33">
        <f t="shared" si="11"/>
        <v>0</v>
      </c>
      <c r="H49" s="28">
        <f t="shared" si="6"/>
        <v>0</v>
      </c>
      <c r="I49" s="34">
        <f t="shared" si="12"/>
        <v>0</v>
      </c>
      <c r="J49" s="35">
        <f t="shared" si="10"/>
        <v>0</v>
      </c>
      <c r="K49" s="30">
        <f t="shared" si="7"/>
        <v>0</v>
      </c>
      <c r="L49" s="33">
        <f t="shared" si="13"/>
        <v>0</v>
      </c>
      <c r="M49" s="31">
        <f t="shared" si="8"/>
        <v>0</v>
      </c>
      <c r="N49" s="33">
        <f t="shared" si="14"/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</row>
    <row r="50" spans="1:52" s="14" customFormat="1" ht="11.25" x14ac:dyDescent="0.2">
      <c r="A50" s="4">
        <f t="shared" si="15"/>
        <v>60005010</v>
      </c>
      <c r="B50" s="4" t="str">
        <f t="shared" si="15"/>
        <v>2024-25</v>
      </c>
      <c r="C50" s="14" t="str">
        <f t="shared" si="15"/>
        <v>Western Carolina University</v>
      </c>
      <c r="D50" s="32">
        <f t="shared" si="9"/>
        <v>0</v>
      </c>
      <c r="E50" s="26">
        <f t="shared" si="4"/>
        <v>0</v>
      </c>
      <c r="F50" s="26">
        <f t="shared" si="5"/>
        <v>0</v>
      </c>
      <c r="G50" s="33">
        <f t="shared" si="11"/>
        <v>0</v>
      </c>
      <c r="H50" s="28">
        <f t="shared" si="6"/>
        <v>0</v>
      </c>
      <c r="I50" s="34">
        <f t="shared" si="12"/>
        <v>0</v>
      </c>
      <c r="J50" s="35">
        <f t="shared" si="10"/>
        <v>0</v>
      </c>
      <c r="K50" s="30">
        <f t="shared" si="7"/>
        <v>0</v>
      </c>
      <c r="L50" s="33">
        <f t="shared" si="13"/>
        <v>0</v>
      </c>
      <c r="M50" s="31">
        <f t="shared" si="8"/>
        <v>0</v>
      </c>
      <c r="N50" s="33">
        <f t="shared" si="14"/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</row>
    <row r="51" spans="1:52" s="14" customFormat="1" ht="11.25" x14ac:dyDescent="0.2">
      <c r="A51" s="4"/>
      <c r="B51" s="4"/>
      <c r="D51" s="3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spans="1:52" s="14" customFormat="1" ht="11.25" x14ac:dyDescent="0.2">
      <c r="A52" s="4"/>
      <c r="B52" s="37"/>
      <c r="C52" s="6"/>
      <c r="D52" s="24" t="s">
        <v>69</v>
      </c>
      <c r="E52" s="24" t="s">
        <v>70</v>
      </c>
      <c r="F52" s="24" t="s">
        <v>71</v>
      </c>
      <c r="G52" s="24" t="s">
        <v>72</v>
      </c>
      <c r="H52" s="130" t="s">
        <v>73</v>
      </c>
      <c r="I52" s="131"/>
      <c r="J52" s="24" t="s">
        <v>74</v>
      </c>
      <c r="K52" s="24" t="s">
        <v>75</v>
      </c>
      <c r="L52" s="24" t="s">
        <v>76</v>
      </c>
      <c r="M52" s="24" t="s">
        <v>77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</row>
    <row r="53" spans="1:52" s="14" customFormat="1" ht="11.25" x14ac:dyDescent="0.2">
      <c r="A53" s="4">
        <f t="shared" ref="A53:C68" si="16">A2</f>
        <v>60005010</v>
      </c>
      <c r="B53" s="4" t="str">
        <f t="shared" si="16"/>
        <v xml:space="preserve"> 2002-03</v>
      </c>
      <c r="C53" s="14" t="str">
        <f t="shared" si="16"/>
        <v>Western Carolina University</v>
      </c>
      <c r="D53" s="38">
        <f t="shared" ref="D53:D75" si="17">IF(G2=0,0,H2/G2)</f>
        <v>4.6285510708021782E-2</v>
      </c>
      <c r="E53" s="39">
        <f t="shared" ref="E53:E75" si="18">IF(I2=0,0,J2/I2)</f>
        <v>7.6863393802645327E-2</v>
      </c>
      <c r="F53" s="26">
        <f t="shared" ref="F53:F75" si="19">IF(K2=0,0,L2/K2)</f>
        <v>1.065526880823831</v>
      </c>
      <c r="G53" s="26">
        <f t="shared" ref="G53:G75" si="20">IF(M2=0,0,N2/M2)</f>
        <v>0.89130053191222591</v>
      </c>
      <c r="H53" s="123">
        <f t="shared" ref="H53:H75" si="21">IF(O2=0,0,P2/O2)</f>
        <v>0.95514528284754374</v>
      </c>
      <c r="I53" s="123"/>
      <c r="J53" s="26">
        <f t="shared" ref="J53:J75" si="22">IF(Q2=0,0,R2/Q2)</f>
        <v>0</v>
      </c>
      <c r="K53" s="26">
        <f t="shared" ref="K53:K75" si="23">IF(S2=0,0,T2/S2)</f>
        <v>0</v>
      </c>
      <c r="L53" s="26">
        <f t="shared" ref="L53:L75" si="24">IF(U2=0,0,V2/U2)</f>
        <v>0</v>
      </c>
      <c r="M53" s="26">
        <f t="shared" ref="M53:M75" si="25">IF(W2=0,0,X2/W2)</f>
        <v>0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spans="1:52" s="14" customFormat="1" ht="11.25" x14ac:dyDescent="0.2">
      <c r="A54" s="4">
        <f t="shared" si="16"/>
        <v>60005010</v>
      </c>
      <c r="B54" s="4" t="str">
        <f t="shared" si="16"/>
        <v xml:space="preserve"> 2003-04</v>
      </c>
      <c r="C54" s="14" t="str">
        <f t="shared" si="16"/>
        <v>Western Carolina University</v>
      </c>
      <c r="D54" s="38">
        <f t="shared" si="17"/>
        <v>4.7180662649301278E-2</v>
      </c>
      <c r="E54" s="39">
        <f t="shared" si="18"/>
        <v>0.60706813186813191</v>
      </c>
      <c r="F54" s="26">
        <f t="shared" si="19"/>
        <v>1.1562242296364675</v>
      </c>
      <c r="G54" s="26">
        <f t="shared" si="20"/>
        <v>0.89130156513644032</v>
      </c>
      <c r="H54" s="123">
        <f t="shared" si="21"/>
        <v>0.99412997903563938</v>
      </c>
      <c r="I54" s="123"/>
      <c r="J54" s="26">
        <f t="shared" si="22"/>
        <v>0</v>
      </c>
      <c r="K54" s="26">
        <f t="shared" si="23"/>
        <v>0</v>
      </c>
      <c r="L54" s="26">
        <f t="shared" si="24"/>
        <v>0</v>
      </c>
      <c r="M54" s="26">
        <f t="shared" si="25"/>
        <v>0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52" s="14" customFormat="1" ht="11.25" x14ac:dyDescent="0.2">
      <c r="A55" s="4">
        <f t="shared" si="16"/>
        <v>60005010</v>
      </c>
      <c r="B55" s="4" t="str">
        <f t="shared" si="16"/>
        <v xml:space="preserve"> 2004-05</v>
      </c>
      <c r="C55" s="40" t="str">
        <f t="shared" si="16"/>
        <v>Western Carolina University</v>
      </c>
      <c r="D55" s="38">
        <f t="shared" si="17"/>
        <v>4.8117028113428821E-2</v>
      </c>
      <c r="E55" s="39">
        <f t="shared" si="18"/>
        <v>0.64386750885586019</v>
      </c>
      <c r="F55" s="26">
        <f t="shared" si="19"/>
        <v>1.488710331705916</v>
      </c>
      <c r="G55" s="26">
        <f t="shared" si="20"/>
        <v>0.92555905418709072</v>
      </c>
      <c r="H55" s="123">
        <f t="shared" si="21"/>
        <v>1.0025997797963115</v>
      </c>
      <c r="I55" s="123"/>
      <c r="J55" s="26">
        <f t="shared" si="22"/>
        <v>0</v>
      </c>
      <c r="K55" s="26">
        <f t="shared" si="23"/>
        <v>0</v>
      </c>
      <c r="L55" s="26">
        <f t="shared" si="24"/>
        <v>0</v>
      </c>
      <c r="M55" s="26">
        <f t="shared" si="25"/>
        <v>0</v>
      </c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52" s="14" customFormat="1" ht="11.25" x14ac:dyDescent="0.2">
      <c r="A56" s="4">
        <f t="shared" si="16"/>
        <v>60005010</v>
      </c>
      <c r="B56" s="4" t="str">
        <f t="shared" si="16"/>
        <v>2005-06</v>
      </c>
      <c r="C56" s="40" t="str">
        <f t="shared" si="16"/>
        <v>Western Carolina University</v>
      </c>
      <c r="D56" s="38">
        <f t="shared" si="17"/>
        <v>5.0691987844378936E-2</v>
      </c>
      <c r="E56" s="39">
        <f t="shared" si="18"/>
        <v>1.6056258032327544</v>
      </c>
      <c r="F56" s="26">
        <f t="shared" si="19"/>
        <v>1.9137702308304589</v>
      </c>
      <c r="G56" s="26">
        <f t="shared" si="20"/>
        <v>1.3195269267764584</v>
      </c>
      <c r="H56" s="123">
        <f t="shared" si="21"/>
        <v>1.2630265086975472</v>
      </c>
      <c r="I56" s="123"/>
      <c r="J56" s="26">
        <f t="shared" si="22"/>
        <v>0</v>
      </c>
      <c r="K56" s="26">
        <f t="shared" si="23"/>
        <v>0</v>
      </c>
      <c r="L56" s="26">
        <f t="shared" si="24"/>
        <v>0</v>
      </c>
      <c r="M56" s="26">
        <f t="shared" si="25"/>
        <v>0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52" s="14" customFormat="1" ht="11.25" x14ac:dyDescent="0.2">
      <c r="A57" s="4">
        <f t="shared" si="16"/>
        <v>60005010</v>
      </c>
      <c r="B57" s="4" t="str">
        <f t="shared" si="16"/>
        <v xml:space="preserve"> 2006-07</v>
      </c>
      <c r="C57" s="40" t="str">
        <f t="shared" si="16"/>
        <v>Western Carolina University</v>
      </c>
      <c r="D57" s="38">
        <f t="shared" si="17"/>
        <v>5.4996027373920946E-2</v>
      </c>
      <c r="E57" s="39">
        <f t="shared" si="18"/>
        <v>0.82038340821531563</v>
      </c>
      <c r="F57" s="26">
        <f t="shared" si="19"/>
        <v>1.9067147760004903</v>
      </c>
      <c r="G57" s="26">
        <f t="shared" si="20"/>
        <v>1.4310614471864804</v>
      </c>
      <c r="H57" s="123">
        <f t="shared" si="21"/>
        <v>1.2584669224756626</v>
      </c>
      <c r="I57" s="123"/>
      <c r="J57" s="26">
        <f t="shared" si="22"/>
        <v>0</v>
      </c>
      <c r="K57" s="26">
        <f t="shared" si="23"/>
        <v>0</v>
      </c>
      <c r="L57" s="26">
        <f t="shared" si="24"/>
        <v>0</v>
      </c>
      <c r="M57" s="26">
        <f t="shared" si="25"/>
        <v>0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52" s="14" customFormat="1" ht="11.25" x14ac:dyDescent="0.2">
      <c r="A58" s="4">
        <f t="shared" si="16"/>
        <v>60005010</v>
      </c>
      <c r="B58" s="4" t="str">
        <f t="shared" si="16"/>
        <v xml:space="preserve"> 2007-08</v>
      </c>
      <c r="C58" s="40" t="str">
        <f t="shared" si="16"/>
        <v>Western Carolina University</v>
      </c>
      <c r="D58" s="38">
        <f t="shared" si="17"/>
        <v>5.6883561164191701E-2</v>
      </c>
      <c r="E58" s="39">
        <f t="shared" si="18"/>
        <v>1.0035421557182711</v>
      </c>
      <c r="F58" s="26">
        <f t="shared" si="19"/>
        <v>3.0036425062965533</v>
      </c>
      <c r="G58" s="26">
        <f t="shared" si="20"/>
        <v>1.4303475558067251</v>
      </c>
      <c r="H58" s="123">
        <f t="shared" si="21"/>
        <v>1.8174198330172426</v>
      </c>
      <c r="I58" s="123"/>
      <c r="J58" s="26">
        <f t="shared" si="22"/>
        <v>0</v>
      </c>
      <c r="K58" s="26">
        <f t="shared" si="23"/>
        <v>0</v>
      </c>
      <c r="L58" s="26">
        <f t="shared" si="24"/>
        <v>0</v>
      </c>
      <c r="M58" s="26">
        <f t="shared" si="25"/>
        <v>0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</row>
    <row r="59" spans="1:52" s="14" customFormat="1" ht="11.25" x14ac:dyDescent="0.2">
      <c r="A59" s="4">
        <f t="shared" si="16"/>
        <v>60005010</v>
      </c>
      <c r="B59" s="4" t="str">
        <f t="shared" si="16"/>
        <v>2008-09</v>
      </c>
      <c r="C59" s="40" t="str">
        <f t="shared" si="16"/>
        <v>Western Carolina University</v>
      </c>
      <c r="D59" s="38">
        <f t="shared" si="17"/>
        <v>5.6600102227036743E-2</v>
      </c>
      <c r="E59" s="39">
        <f t="shared" si="18"/>
        <v>0.79756405490420368</v>
      </c>
      <c r="F59" s="26">
        <f t="shared" si="19"/>
        <v>1.8133752993954011</v>
      </c>
      <c r="G59" s="26">
        <f t="shared" si="20"/>
        <v>2.6973661852166524</v>
      </c>
      <c r="H59" s="123">
        <f t="shared" si="21"/>
        <v>2.3157354618015962</v>
      </c>
      <c r="I59" s="123"/>
      <c r="J59" s="26">
        <f t="shared" si="22"/>
        <v>0</v>
      </c>
      <c r="K59" s="26">
        <f t="shared" si="23"/>
        <v>0</v>
      </c>
      <c r="L59" s="26">
        <f t="shared" si="24"/>
        <v>0</v>
      </c>
      <c r="M59" s="26">
        <f t="shared" si="25"/>
        <v>0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</row>
    <row r="60" spans="1:52" s="14" customFormat="1" ht="11.25" x14ac:dyDescent="0.2">
      <c r="A60" s="4">
        <f t="shared" si="16"/>
        <v>60005010</v>
      </c>
      <c r="B60" s="4" t="str">
        <f t="shared" si="16"/>
        <v>2009-10</v>
      </c>
      <c r="C60" s="40" t="str">
        <f t="shared" si="16"/>
        <v>Western Carolina University</v>
      </c>
      <c r="D60" s="38">
        <f t="shared" si="17"/>
        <v>5.8320360397865638E-2</v>
      </c>
      <c r="E60" s="39">
        <f t="shared" si="18"/>
        <v>0.66148455885996438</v>
      </c>
      <c r="F60" s="26">
        <f t="shared" si="19"/>
        <v>3.2561815723833276</v>
      </c>
      <c r="G60" s="26">
        <f t="shared" si="20"/>
        <v>1.4241999999999999</v>
      </c>
      <c r="H60" s="123">
        <f t="shared" si="21"/>
        <v>1.5609303716502467</v>
      </c>
      <c r="I60" s="123"/>
      <c r="J60" s="26">
        <f t="shared" si="22"/>
        <v>0</v>
      </c>
      <c r="K60" s="26">
        <f t="shared" si="23"/>
        <v>0</v>
      </c>
      <c r="L60" s="26">
        <f t="shared" si="24"/>
        <v>0</v>
      </c>
      <c r="M60" s="26">
        <f t="shared" si="25"/>
        <v>0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</row>
    <row r="61" spans="1:52" s="14" customFormat="1" ht="11.25" x14ac:dyDescent="0.2">
      <c r="A61" s="4">
        <f t="shared" si="16"/>
        <v>60005010</v>
      </c>
      <c r="B61" s="4" t="str">
        <f t="shared" si="16"/>
        <v>2010-11</v>
      </c>
      <c r="C61" s="40" t="str">
        <f t="shared" si="16"/>
        <v>Western Carolina University</v>
      </c>
      <c r="D61" s="38">
        <f t="shared" si="17"/>
        <v>5.740581978029817E-2</v>
      </c>
      <c r="E61" s="39">
        <f t="shared" si="18"/>
        <v>0.58164462992576416</v>
      </c>
      <c r="F61" s="26">
        <f t="shared" si="19"/>
        <v>2.837996009753935</v>
      </c>
      <c r="G61" s="26">
        <f t="shared" si="20"/>
        <v>0</v>
      </c>
      <c r="H61" s="123">
        <f t="shared" si="21"/>
        <v>1.8948780948780948</v>
      </c>
      <c r="I61" s="123"/>
      <c r="J61" s="26">
        <f t="shared" si="22"/>
        <v>0</v>
      </c>
      <c r="K61" s="26">
        <f t="shared" si="23"/>
        <v>0</v>
      </c>
      <c r="L61" s="26">
        <f t="shared" si="24"/>
        <v>0</v>
      </c>
      <c r="M61" s="26">
        <f t="shared" si="25"/>
        <v>0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spans="1:52" s="14" customFormat="1" ht="11.25" x14ac:dyDescent="0.2">
      <c r="A62" s="4">
        <f t="shared" si="16"/>
        <v>60005010</v>
      </c>
      <c r="B62" s="4" t="str">
        <f t="shared" si="16"/>
        <v>2011-12</v>
      </c>
      <c r="C62" s="40" t="str">
        <f t="shared" si="16"/>
        <v>Western Carolina University</v>
      </c>
      <c r="D62" s="38">
        <f t="shared" si="17"/>
        <v>6.0713702588775544E-2</v>
      </c>
      <c r="E62" s="39">
        <f t="shared" si="18"/>
        <v>0.55637150223772458</v>
      </c>
      <c r="F62" s="26">
        <f t="shared" si="19"/>
        <v>3.3222740814048555</v>
      </c>
      <c r="G62" s="26">
        <f t="shared" si="20"/>
        <v>0</v>
      </c>
      <c r="H62" s="123">
        <f t="shared" si="21"/>
        <v>2.0311051852091646</v>
      </c>
      <c r="I62" s="123"/>
      <c r="J62" s="26">
        <f t="shared" si="22"/>
        <v>0</v>
      </c>
      <c r="K62" s="26">
        <f t="shared" si="23"/>
        <v>0</v>
      </c>
      <c r="L62" s="26">
        <f t="shared" si="24"/>
        <v>0</v>
      </c>
      <c r="M62" s="26">
        <f t="shared" si="25"/>
        <v>0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spans="1:52" s="14" customFormat="1" ht="11.25" customHeight="1" x14ac:dyDescent="0.2">
      <c r="A63" s="4">
        <f t="shared" si="16"/>
        <v>60005010</v>
      </c>
      <c r="B63" s="4" t="str">
        <f t="shared" si="16"/>
        <v>2012-13</v>
      </c>
      <c r="C63" s="40" t="str">
        <f t="shared" si="16"/>
        <v>Western Carolina University</v>
      </c>
      <c r="D63" s="38">
        <f t="shared" si="17"/>
        <v>6.329639170854498E-2</v>
      </c>
      <c r="E63" s="39">
        <f t="shared" si="18"/>
        <v>0.56060236142920117</v>
      </c>
      <c r="F63" s="26">
        <f t="shared" si="19"/>
        <v>3.5107220678701845</v>
      </c>
      <c r="G63" s="26">
        <f t="shared" si="20"/>
        <v>0</v>
      </c>
      <c r="H63" s="123">
        <f t="shared" si="21"/>
        <v>1.5884838692494807</v>
      </c>
      <c r="I63" s="123"/>
      <c r="J63" s="26">
        <f t="shared" si="22"/>
        <v>0</v>
      </c>
      <c r="K63" s="26">
        <f t="shared" si="23"/>
        <v>0</v>
      </c>
      <c r="L63" s="26">
        <f t="shared" si="24"/>
        <v>0</v>
      </c>
      <c r="M63" s="26">
        <f t="shared" si="25"/>
        <v>0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1:52" s="14" customFormat="1" ht="11.25" x14ac:dyDescent="0.2">
      <c r="A64" s="4">
        <f t="shared" si="16"/>
        <v>60005010</v>
      </c>
      <c r="B64" s="4" t="str">
        <f t="shared" si="16"/>
        <v>2013-14</v>
      </c>
      <c r="C64" s="40" t="str">
        <f t="shared" si="16"/>
        <v>Western Carolina University</v>
      </c>
      <c r="D64" s="38">
        <f t="shared" si="17"/>
        <v>7.0367256324592731E-2</v>
      </c>
      <c r="E64" s="39">
        <f t="shared" si="18"/>
        <v>0.60320629851837504</v>
      </c>
      <c r="F64" s="26">
        <f t="shared" si="19"/>
        <v>3.4181428614845357</v>
      </c>
      <c r="G64" s="26">
        <f t="shared" si="20"/>
        <v>2.1384999693933766</v>
      </c>
      <c r="H64" s="123">
        <f t="shared" si="21"/>
        <v>2.1383191709979714</v>
      </c>
      <c r="I64" s="123"/>
      <c r="J64" s="26">
        <f t="shared" si="22"/>
        <v>0</v>
      </c>
      <c r="K64" s="26">
        <f t="shared" si="23"/>
        <v>0</v>
      </c>
      <c r="L64" s="26">
        <f t="shared" si="24"/>
        <v>0</v>
      </c>
      <c r="M64" s="26">
        <f t="shared" si="25"/>
        <v>0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</row>
    <row r="65" spans="1:52" s="14" customFormat="1" ht="11.25" x14ac:dyDescent="0.2">
      <c r="A65" s="4">
        <f t="shared" si="16"/>
        <v>60005010</v>
      </c>
      <c r="B65" s="4" t="str">
        <f t="shared" si="16"/>
        <v>2014-15</v>
      </c>
      <c r="C65" s="40" t="str">
        <f t="shared" si="16"/>
        <v>Western Carolina University</v>
      </c>
      <c r="D65" s="38">
        <f t="shared" si="17"/>
        <v>6.504245903447807E-2</v>
      </c>
      <c r="E65" s="39">
        <f t="shared" si="18"/>
        <v>0.53998243867019347</v>
      </c>
      <c r="F65" s="26">
        <f t="shared" si="19"/>
        <v>2.5528284541235271</v>
      </c>
      <c r="G65" s="26">
        <f t="shared" si="20"/>
        <v>2.8529</v>
      </c>
      <c r="H65" s="123">
        <f t="shared" si="21"/>
        <v>1.6471458385350664</v>
      </c>
      <c r="I65" s="123"/>
      <c r="J65" s="26">
        <f t="shared" si="22"/>
        <v>0</v>
      </c>
      <c r="K65" s="26">
        <f t="shared" si="23"/>
        <v>0</v>
      </c>
      <c r="L65" s="26">
        <f t="shared" si="24"/>
        <v>0</v>
      </c>
      <c r="M65" s="26">
        <f t="shared" si="25"/>
        <v>0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1:52" s="14" customFormat="1" ht="11.25" x14ac:dyDescent="0.2">
      <c r="A66" s="4">
        <f t="shared" si="16"/>
        <v>60005010</v>
      </c>
      <c r="B66" s="4" t="str">
        <f t="shared" si="16"/>
        <v>2015-16</v>
      </c>
      <c r="C66" s="40" t="str">
        <f t="shared" si="16"/>
        <v>Western Carolina University</v>
      </c>
      <c r="D66" s="38">
        <f t="shared" si="17"/>
        <v>0</v>
      </c>
      <c r="E66" s="39">
        <f t="shared" si="18"/>
        <v>0</v>
      </c>
      <c r="F66" s="26">
        <f t="shared" si="19"/>
        <v>0</v>
      </c>
      <c r="G66" s="26">
        <f t="shared" si="20"/>
        <v>0</v>
      </c>
      <c r="H66" s="123">
        <f t="shared" si="21"/>
        <v>0</v>
      </c>
      <c r="I66" s="123"/>
      <c r="J66" s="26">
        <f t="shared" si="22"/>
        <v>0</v>
      </c>
      <c r="K66" s="26">
        <f t="shared" si="23"/>
        <v>0</v>
      </c>
      <c r="L66" s="26">
        <f t="shared" si="24"/>
        <v>0</v>
      </c>
      <c r="M66" s="26">
        <f t="shared" si="25"/>
        <v>0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1:52" s="14" customFormat="1" ht="11.25" x14ac:dyDescent="0.2">
      <c r="A67" s="4">
        <f t="shared" si="16"/>
        <v>60005010</v>
      </c>
      <c r="B67" s="4" t="str">
        <f t="shared" si="16"/>
        <v>2016-14</v>
      </c>
      <c r="C67" s="40" t="str">
        <f t="shared" si="16"/>
        <v>Western Carolina University</v>
      </c>
      <c r="D67" s="38">
        <f t="shared" si="17"/>
        <v>0</v>
      </c>
      <c r="E67" s="39">
        <f t="shared" si="18"/>
        <v>0</v>
      </c>
      <c r="F67" s="26">
        <f t="shared" si="19"/>
        <v>0</v>
      </c>
      <c r="G67" s="26">
        <f t="shared" si="20"/>
        <v>0</v>
      </c>
      <c r="H67" s="123">
        <f t="shared" si="21"/>
        <v>0</v>
      </c>
      <c r="I67" s="123"/>
      <c r="J67" s="26">
        <f t="shared" si="22"/>
        <v>0</v>
      </c>
      <c r="K67" s="26">
        <f t="shared" si="23"/>
        <v>0</v>
      </c>
      <c r="L67" s="26">
        <f t="shared" si="24"/>
        <v>0</v>
      </c>
      <c r="M67" s="26">
        <f t="shared" si="25"/>
        <v>0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1:52" s="14" customFormat="1" ht="11.25" x14ac:dyDescent="0.2">
      <c r="A68" s="4">
        <f t="shared" si="16"/>
        <v>60005010</v>
      </c>
      <c r="B68" s="4" t="str">
        <f t="shared" si="16"/>
        <v>2017-18</v>
      </c>
      <c r="C68" s="40" t="str">
        <f t="shared" si="16"/>
        <v>Western Carolina University</v>
      </c>
      <c r="D68" s="38">
        <f t="shared" si="17"/>
        <v>0</v>
      </c>
      <c r="E68" s="39">
        <f t="shared" si="18"/>
        <v>0</v>
      </c>
      <c r="F68" s="26">
        <f t="shared" si="19"/>
        <v>0</v>
      </c>
      <c r="G68" s="26">
        <f t="shared" si="20"/>
        <v>0</v>
      </c>
      <c r="H68" s="123">
        <f t="shared" si="21"/>
        <v>0</v>
      </c>
      <c r="I68" s="123"/>
      <c r="J68" s="26">
        <f t="shared" si="22"/>
        <v>0</v>
      </c>
      <c r="K68" s="26">
        <f t="shared" si="23"/>
        <v>0</v>
      </c>
      <c r="L68" s="26">
        <f t="shared" si="24"/>
        <v>0</v>
      </c>
      <c r="M68" s="26">
        <f t="shared" si="25"/>
        <v>0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1:52" s="14" customFormat="1" ht="11.25" x14ac:dyDescent="0.2">
      <c r="A69" s="4">
        <f t="shared" ref="A69:C75" si="26">A18</f>
        <v>60005010</v>
      </c>
      <c r="B69" s="4" t="str">
        <f t="shared" si="26"/>
        <v>2018-19</v>
      </c>
      <c r="C69" s="40" t="str">
        <f t="shared" si="26"/>
        <v>Western Carolina University</v>
      </c>
      <c r="D69" s="38">
        <f t="shared" si="17"/>
        <v>0</v>
      </c>
      <c r="E69" s="39">
        <f t="shared" si="18"/>
        <v>0</v>
      </c>
      <c r="F69" s="26">
        <f t="shared" si="19"/>
        <v>0</v>
      </c>
      <c r="G69" s="26">
        <f t="shared" si="20"/>
        <v>0</v>
      </c>
      <c r="H69" s="123">
        <f t="shared" si="21"/>
        <v>0</v>
      </c>
      <c r="I69" s="123"/>
      <c r="J69" s="26">
        <f t="shared" si="22"/>
        <v>0</v>
      </c>
      <c r="K69" s="26">
        <f t="shared" si="23"/>
        <v>0</v>
      </c>
      <c r="L69" s="26">
        <f t="shared" si="24"/>
        <v>0</v>
      </c>
      <c r="M69" s="26">
        <f t="shared" si="25"/>
        <v>0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1:52" s="14" customFormat="1" ht="11.25" x14ac:dyDescent="0.2">
      <c r="A70" s="4">
        <f t="shared" si="26"/>
        <v>60005010</v>
      </c>
      <c r="B70" s="4" t="str">
        <f t="shared" si="26"/>
        <v>2019-20</v>
      </c>
      <c r="C70" s="40" t="str">
        <f t="shared" si="26"/>
        <v>Western Carolina University</v>
      </c>
      <c r="D70" s="38">
        <f t="shared" si="17"/>
        <v>0</v>
      </c>
      <c r="E70" s="39">
        <f t="shared" si="18"/>
        <v>0</v>
      </c>
      <c r="F70" s="26">
        <f t="shared" si="19"/>
        <v>0</v>
      </c>
      <c r="G70" s="26">
        <f t="shared" si="20"/>
        <v>0</v>
      </c>
      <c r="H70" s="123">
        <f t="shared" si="21"/>
        <v>0</v>
      </c>
      <c r="I70" s="123"/>
      <c r="J70" s="26">
        <f t="shared" si="22"/>
        <v>0</v>
      </c>
      <c r="K70" s="26">
        <f t="shared" si="23"/>
        <v>0</v>
      </c>
      <c r="L70" s="26">
        <f t="shared" si="24"/>
        <v>0</v>
      </c>
      <c r="M70" s="26">
        <f t="shared" si="25"/>
        <v>0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1:52" s="14" customFormat="1" ht="11.25" x14ac:dyDescent="0.2">
      <c r="A71" s="4">
        <f t="shared" si="26"/>
        <v>60005010</v>
      </c>
      <c r="B71" s="4" t="str">
        <f t="shared" si="26"/>
        <v>2020-21</v>
      </c>
      <c r="C71" s="40" t="str">
        <f t="shared" si="26"/>
        <v>Western Carolina University</v>
      </c>
      <c r="D71" s="38">
        <f t="shared" si="17"/>
        <v>0</v>
      </c>
      <c r="E71" s="39">
        <f t="shared" si="18"/>
        <v>0</v>
      </c>
      <c r="F71" s="26">
        <f t="shared" si="19"/>
        <v>0</v>
      </c>
      <c r="G71" s="26">
        <f t="shared" si="20"/>
        <v>0</v>
      </c>
      <c r="H71" s="123">
        <f t="shared" si="21"/>
        <v>0</v>
      </c>
      <c r="I71" s="123"/>
      <c r="J71" s="26">
        <f t="shared" si="22"/>
        <v>0</v>
      </c>
      <c r="K71" s="26">
        <f t="shared" si="23"/>
        <v>0</v>
      </c>
      <c r="L71" s="26">
        <f t="shared" si="24"/>
        <v>0</v>
      </c>
      <c r="M71" s="26">
        <f t="shared" si="25"/>
        <v>0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1:52" s="14" customFormat="1" ht="11.25" x14ac:dyDescent="0.2">
      <c r="A72" s="4">
        <f t="shared" si="26"/>
        <v>60005010</v>
      </c>
      <c r="B72" s="4" t="str">
        <f t="shared" si="26"/>
        <v>2021-22</v>
      </c>
      <c r="C72" s="40" t="str">
        <f t="shared" si="26"/>
        <v>Western Carolina University</v>
      </c>
      <c r="D72" s="38">
        <f t="shared" si="17"/>
        <v>0</v>
      </c>
      <c r="E72" s="39">
        <f t="shared" si="18"/>
        <v>0</v>
      </c>
      <c r="F72" s="26">
        <f t="shared" si="19"/>
        <v>0</v>
      </c>
      <c r="G72" s="26">
        <f t="shared" si="20"/>
        <v>0</v>
      </c>
      <c r="H72" s="123">
        <f t="shared" si="21"/>
        <v>0</v>
      </c>
      <c r="I72" s="123"/>
      <c r="J72" s="26">
        <f t="shared" si="22"/>
        <v>0</v>
      </c>
      <c r="K72" s="26">
        <f t="shared" si="23"/>
        <v>0</v>
      </c>
      <c r="L72" s="26">
        <f t="shared" si="24"/>
        <v>0</v>
      </c>
      <c r="M72" s="26">
        <f t="shared" si="25"/>
        <v>0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</row>
    <row r="73" spans="1:52" s="14" customFormat="1" ht="11.25" x14ac:dyDescent="0.2">
      <c r="A73" s="4">
        <f t="shared" si="26"/>
        <v>60005010</v>
      </c>
      <c r="B73" s="4" t="str">
        <f t="shared" si="26"/>
        <v>2022-23</v>
      </c>
      <c r="C73" s="40" t="str">
        <f t="shared" si="26"/>
        <v>Western Carolina University</v>
      </c>
      <c r="D73" s="38">
        <f t="shared" si="17"/>
        <v>0</v>
      </c>
      <c r="E73" s="39">
        <f t="shared" si="18"/>
        <v>0</v>
      </c>
      <c r="F73" s="26">
        <f t="shared" si="19"/>
        <v>0</v>
      </c>
      <c r="G73" s="26">
        <f t="shared" si="20"/>
        <v>0</v>
      </c>
      <c r="H73" s="123">
        <f t="shared" si="21"/>
        <v>0</v>
      </c>
      <c r="I73" s="123"/>
      <c r="J73" s="26">
        <f t="shared" si="22"/>
        <v>0</v>
      </c>
      <c r="K73" s="26">
        <f t="shared" si="23"/>
        <v>0</v>
      </c>
      <c r="L73" s="26">
        <f t="shared" si="24"/>
        <v>0</v>
      </c>
      <c r="M73" s="26">
        <f t="shared" si="25"/>
        <v>0</v>
      </c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</row>
    <row r="74" spans="1:52" s="14" customFormat="1" ht="11.25" x14ac:dyDescent="0.2">
      <c r="A74" s="4">
        <f t="shared" si="26"/>
        <v>60005010</v>
      </c>
      <c r="B74" s="4" t="str">
        <f t="shared" si="26"/>
        <v>2023-24</v>
      </c>
      <c r="C74" s="40" t="str">
        <f t="shared" si="26"/>
        <v>Western Carolina University</v>
      </c>
      <c r="D74" s="38">
        <f t="shared" si="17"/>
        <v>0</v>
      </c>
      <c r="E74" s="39">
        <f t="shared" si="18"/>
        <v>0</v>
      </c>
      <c r="F74" s="26">
        <f t="shared" si="19"/>
        <v>0</v>
      </c>
      <c r="G74" s="26">
        <f t="shared" si="20"/>
        <v>0</v>
      </c>
      <c r="H74" s="123">
        <f t="shared" si="21"/>
        <v>0</v>
      </c>
      <c r="I74" s="123"/>
      <c r="J74" s="26">
        <f t="shared" si="22"/>
        <v>0</v>
      </c>
      <c r="K74" s="26">
        <f t="shared" si="23"/>
        <v>0</v>
      </c>
      <c r="L74" s="26">
        <f t="shared" si="24"/>
        <v>0</v>
      </c>
      <c r="M74" s="26">
        <f t="shared" si="25"/>
        <v>0</v>
      </c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</row>
    <row r="75" spans="1:52" s="14" customFormat="1" ht="11.25" x14ac:dyDescent="0.2">
      <c r="A75" s="4">
        <f t="shared" si="26"/>
        <v>60005010</v>
      </c>
      <c r="B75" s="4" t="str">
        <f t="shared" si="26"/>
        <v>2024-25</v>
      </c>
      <c r="C75" s="40" t="str">
        <f t="shared" si="26"/>
        <v>Western Carolina University</v>
      </c>
      <c r="D75" s="38">
        <f t="shared" si="17"/>
        <v>0</v>
      </c>
      <c r="E75" s="39">
        <f t="shared" si="18"/>
        <v>0</v>
      </c>
      <c r="F75" s="26">
        <f t="shared" si="19"/>
        <v>0</v>
      </c>
      <c r="G75" s="26">
        <f t="shared" si="20"/>
        <v>0</v>
      </c>
      <c r="H75" s="123">
        <f t="shared" si="21"/>
        <v>0</v>
      </c>
      <c r="I75" s="123"/>
      <c r="J75" s="26">
        <f t="shared" si="22"/>
        <v>0</v>
      </c>
      <c r="K75" s="26">
        <f t="shared" si="23"/>
        <v>0</v>
      </c>
      <c r="L75" s="26">
        <f t="shared" si="24"/>
        <v>0</v>
      </c>
      <c r="M75" s="26">
        <f t="shared" si="25"/>
        <v>0</v>
      </c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</row>
    <row r="76" spans="1:52" s="14" customFormat="1" ht="12" thickBot="1" x14ac:dyDescent="0.25">
      <c r="A76" s="4"/>
      <c r="B76" s="37"/>
      <c r="C76" s="6"/>
      <c r="D76" s="41"/>
      <c r="E76" s="36"/>
      <c r="F76" s="36"/>
      <c r="G76" s="36"/>
      <c r="H76" s="42"/>
      <c r="I76" s="42"/>
      <c r="J76" s="3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</row>
    <row r="77" spans="1:52" s="14" customFormat="1" ht="11.25" customHeight="1" x14ac:dyDescent="0.2">
      <c r="A77" s="4"/>
      <c r="B77" s="37"/>
      <c r="C77" s="6"/>
      <c r="D77" s="132" t="s">
        <v>78</v>
      </c>
      <c r="E77" s="133"/>
      <c r="F77" s="133"/>
      <c r="G77" s="133"/>
      <c r="H77" s="133"/>
      <c r="I77" s="133"/>
      <c r="J77" s="133"/>
      <c r="K77" s="133"/>
      <c r="L77" s="133"/>
      <c r="M77" s="134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</row>
    <row r="78" spans="1:52" s="14" customFormat="1" ht="11.25" customHeight="1" x14ac:dyDescent="0.2">
      <c r="A78" s="4">
        <f>A2</f>
        <v>60005010</v>
      </c>
      <c r="B78" s="4" t="str">
        <f>B2</f>
        <v xml:space="preserve"> 2002-03</v>
      </c>
      <c r="C78" s="6" t="str">
        <f>C2</f>
        <v>Western Carolina University</v>
      </c>
      <c r="D78" s="26">
        <f t="shared" ref="D78:D100" si="27">(D53/3412)*100000</f>
        <v>1.3565507241506971</v>
      </c>
      <c r="E78" s="26">
        <f t="shared" ref="E78:E100" si="28">E53</f>
        <v>7.6863393802645327E-2</v>
      </c>
      <c r="F78" s="26">
        <f t="shared" ref="F78:F100" si="29">(F53/140000)*100000</f>
        <v>0.76109062915987924</v>
      </c>
      <c r="G78" s="26">
        <f t="shared" ref="G78:G100" si="30">(G53/150000)*100000</f>
        <v>0.59420035460815057</v>
      </c>
      <c r="H78" s="123">
        <f t="shared" ref="H78:H100" si="31">(H53/92000)*100000</f>
        <v>1.0382013943995041</v>
      </c>
      <c r="I78" s="123"/>
      <c r="J78" s="26">
        <f t="shared" ref="J78:J100" si="32">(J53/26000000)*100000</f>
        <v>0</v>
      </c>
      <c r="K78" s="26">
        <f t="shared" ref="K78:K100" si="33">(K53/16000000)*100000</f>
        <v>0</v>
      </c>
      <c r="L78" s="26">
        <f t="shared" ref="L78:L100" si="34">(L53/1000000)*100000</f>
        <v>0</v>
      </c>
      <c r="M78" s="30">
        <f t="shared" ref="M78:M100" si="35">(L53/12000)*100000</f>
        <v>0</v>
      </c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</row>
    <row r="79" spans="1:52" s="14" customFormat="1" ht="11.25" customHeight="1" x14ac:dyDescent="0.2">
      <c r="A79" s="4">
        <f t="shared" ref="A79:C94" si="36">A3</f>
        <v>60005010</v>
      </c>
      <c r="B79" s="4" t="str">
        <f t="shared" si="36"/>
        <v xml:space="preserve"> 2003-04</v>
      </c>
      <c r="C79" s="6" t="str">
        <f t="shared" si="36"/>
        <v>Western Carolina University</v>
      </c>
      <c r="D79" s="26">
        <f t="shared" si="27"/>
        <v>1.3827861268845627</v>
      </c>
      <c r="E79" s="26">
        <f t="shared" si="28"/>
        <v>0.60706813186813191</v>
      </c>
      <c r="F79" s="26">
        <f t="shared" si="29"/>
        <v>0.82587444974033408</v>
      </c>
      <c r="G79" s="26">
        <f t="shared" si="30"/>
        <v>0.59420104342429358</v>
      </c>
      <c r="H79" s="123">
        <f t="shared" si="31"/>
        <v>1.0805760641691733</v>
      </c>
      <c r="I79" s="123"/>
      <c r="J79" s="26">
        <f t="shared" si="32"/>
        <v>0</v>
      </c>
      <c r="K79" s="26">
        <f t="shared" si="33"/>
        <v>0</v>
      </c>
      <c r="L79" s="26">
        <f t="shared" si="34"/>
        <v>0</v>
      </c>
      <c r="M79" s="30">
        <f t="shared" si="35"/>
        <v>0</v>
      </c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</row>
    <row r="80" spans="1:52" s="14" customFormat="1" ht="11.25" customHeight="1" x14ac:dyDescent="0.2">
      <c r="A80" s="4">
        <f t="shared" si="36"/>
        <v>60005010</v>
      </c>
      <c r="B80" s="4" t="str">
        <f t="shared" si="36"/>
        <v xml:space="preserve"> 2004-05</v>
      </c>
      <c r="C80" s="6" t="str">
        <f t="shared" si="36"/>
        <v>Western Carolina University</v>
      </c>
      <c r="D80" s="26">
        <f t="shared" si="27"/>
        <v>1.4102294288812667</v>
      </c>
      <c r="E80" s="26">
        <f t="shared" si="28"/>
        <v>0.64386750885586019</v>
      </c>
      <c r="F80" s="26">
        <f t="shared" si="29"/>
        <v>1.0633645226470829</v>
      </c>
      <c r="G80" s="26">
        <f t="shared" si="30"/>
        <v>0.61703936945806048</v>
      </c>
      <c r="H80" s="123">
        <f t="shared" si="31"/>
        <v>1.0897823693438169</v>
      </c>
      <c r="I80" s="123"/>
      <c r="J80" s="26">
        <f t="shared" si="32"/>
        <v>0</v>
      </c>
      <c r="K80" s="26">
        <f t="shared" si="33"/>
        <v>0</v>
      </c>
      <c r="L80" s="26">
        <f t="shared" si="34"/>
        <v>0</v>
      </c>
      <c r="M80" s="30">
        <f t="shared" si="35"/>
        <v>0</v>
      </c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</row>
    <row r="81" spans="1:52" s="14" customFormat="1" ht="11.25" customHeight="1" x14ac:dyDescent="0.2">
      <c r="A81" s="4">
        <f t="shared" si="36"/>
        <v>60005010</v>
      </c>
      <c r="B81" s="4" t="str">
        <f t="shared" si="36"/>
        <v>2005-06</v>
      </c>
      <c r="C81" s="6" t="str">
        <f t="shared" si="36"/>
        <v>Western Carolina University</v>
      </c>
      <c r="D81" s="26">
        <f t="shared" si="27"/>
        <v>1.4856971818399454</v>
      </c>
      <c r="E81" s="26">
        <f t="shared" si="28"/>
        <v>1.6056258032327544</v>
      </c>
      <c r="F81" s="26">
        <f t="shared" si="29"/>
        <v>1.3669787363074706</v>
      </c>
      <c r="G81" s="26">
        <f t="shared" si="30"/>
        <v>0.87968461785097229</v>
      </c>
      <c r="H81" s="123">
        <f t="shared" si="31"/>
        <v>1.3728549007582034</v>
      </c>
      <c r="I81" s="123"/>
      <c r="J81" s="26">
        <f t="shared" si="32"/>
        <v>0</v>
      </c>
      <c r="K81" s="26">
        <f t="shared" si="33"/>
        <v>0</v>
      </c>
      <c r="L81" s="26">
        <f t="shared" si="34"/>
        <v>0</v>
      </c>
      <c r="M81" s="30">
        <f t="shared" si="35"/>
        <v>0</v>
      </c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</row>
    <row r="82" spans="1:52" s="14" customFormat="1" ht="11.25" customHeight="1" x14ac:dyDescent="0.2">
      <c r="A82" s="4">
        <f t="shared" si="36"/>
        <v>60005010</v>
      </c>
      <c r="B82" s="4" t="str">
        <f t="shared" si="36"/>
        <v xml:space="preserve"> 2006-07</v>
      </c>
      <c r="C82" s="6" t="str">
        <f t="shared" si="36"/>
        <v>Western Carolina University</v>
      </c>
      <c r="D82" s="26">
        <f t="shared" si="27"/>
        <v>1.6118413650035446</v>
      </c>
      <c r="E82" s="26">
        <f t="shared" si="28"/>
        <v>0.82038340821531563</v>
      </c>
      <c r="F82" s="26">
        <f t="shared" si="29"/>
        <v>1.3619391257146358</v>
      </c>
      <c r="G82" s="26">
        <f t="shared" si="30"/>
        <v>0.95404096479098699</v>
      </c>
      <c r="H82" s="123">
        <f t="shared" si="31"/>
        <v>1.3678988287778941</v>
      </c>
      <c r="I82" s="123"/>
      <c r="J82" s="26">
        <f t="shared" si="32"/>
        <v>0</v>
      </c>
      <c r="K82" s="26">
        <f t="shared" si="33"/>
        <v>0</v>
      </c>
      <c r="L82" s="26">
        <f t="shared" si="34"/>
        <v>0</v>
      </c>
      <c r="M82" s="30">
        <f t="shared" si="35"/>
        <v>0</v>
      </c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</row>
    <row r="83" spans="1:52" ht="11.25" customHeight="1" x14ac:dyDescent="0.2">
      <c r="A83" s="4">
        <f t="shared" si="36"/>
        <v>60005010</v>
      </c>
      <c r="B83" s="4" t="str">
        <f t="shared" si="36"/>
        <v xml:space="preserve"> 2007-08</v>
      </c>
      <c r="C83" s="6" t="str">
        <f t="shared" si="36"/>
        <v>Western Carolina University</v>
      </c>
      <c r="D83" s="26">
        <f t="shared" si="27"/>
        <v>1.6671618160665795</v>
      </c>
      <c r="E83" s="26">
        <f t="shared" si="28"/>
        <v>1.0035421557182711</v>
      </c>
      <c r="F83" s="26">
        <f t="shared" si="29"/>
        <v>2.1454589330689666</v>
      </c>
      <c r="G83" s="26">
        <f t="shared" si="30"/>
        <v>0.95356503720448338</v>
      </c>
      <c r="H83" s="123">
        <f t="shared" si="31"/>
        <v>1.9754563402361331</v>
      </c>
      <c r="I83" s="123"/>
      <c r="J83" s="26">
        <f t="shared" si="32"/>
        <v>0</v>
      </c>
      <c r="K83" s="26">
        <f t="shared" si="33"/>
        <v>0</v>
      </c>
      <c r="L83" s="26">
        <f t="shared" si="34"/>
        <v>0</v>
      </c>
      <c r="M83" s="30">
        <f t="shared" si="35"/>
        <v>0</v>
      </c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</row>
    <row r="84" spans="1:52" ht="11.25" customHeight="1" x14ac:dyDescent="0.2">
      <c r="A84" s="4">
        <f t="shared" si="36"/>
        <v>60005010</v>
      </c>
      <c r="B84" s="4" t="str">
        <f t="shared" si="36"/>
        <v>2008-09</v>
      </c>
      <c r="C84" s="6" t="str">
        <f t="shared" si="36"/>
        <v>Western Carolina University</v>
      </c>
      <c r="D84" s="26">
        <f t="shared" si="27"/>
        <v>1.6588541098193654</v>
      </c>
      <c r="E84" s="26">
        <f t="shared" si="28"/>
        <v>0.79756405490420368</v>
      </c>
      <c r="F84" s="26">
        <f t="shared" si="29"/>
        <v>1.295268070996715</v>
      </c>
      <c r="G84" s="26">
        <f t="shared" si="30"/>
        <v>1.7982441234777684</v>
      </c>
      <c r="H84" s="123">
        <f t="shared" si="31"/>
        <v>2.5171037628278219</v>
      </c>
      <c r="I84" s="123"/>
      <c r="J84" s="26">
        <f t="shared" si="32"/>
        <v>0</v>
      </c>
      <c r="K84" s="26">
        <f t="shared" si="33"/>
        <v>0</v>
      </c>
      <c r="L84" s="26">
        <f t="shared" si="34"/>
        <v>0</v>
      </c>
      <c r="M84" s="30">
        <f t="shared" si="35"/>
        <v>0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</row>
    <row r="85" spans="1:52" ht="11.25" customHeight="1" x14ac:dyDescent="0.2">
      <c r="A85" s="4">
        <f t="shared" si="36"/>
        <v>60005010</v>
      </c>
      <c r="B85" s="4" t="str">
        <f t="shared" si="36"/>
        <v>2009-10</v>
      </c>
      <c r="C85" s="6" t="str">
        <f t="shared" si="36"/>
        <v>Western Carolina University</v>
      </c>
      <c r="D85" s="26">
        <f t="shared" si="27"/>
        <v>1.7092719929034477</v>
      </c>
      <c r="E85" s="26">
        <f t="shared" si="28"/>
        <v>0.66148455885996438</v>
      </c>
      <c r="F85" s="26">
        <f t="shared" si="29"/>
        <v>2.3258439802738056</v>
      </c>
      <c r="G85" s="26">
        <f t="shared" si="30"/>
        <v>0.94946666666666657</v>
      </c>
      <c r="H85" s="123">
        <f t="shared" si="31"/>
        <v>1.6966634474459203</v>
      </c>
      <c r="I85" s="123"/>
      <c r="J85" s="26">
        <f t="shared" si="32"/>
        <v>0</v>
      </c>
      <c r="K85" s="26">
        <f t="shared" si="33"/>
        <v>0</v>
      </c>
      <c r="L85" s="26">
        <f t="shared" si="34"/>
        <v>0</v>
      </c>
      <c r="M85" s="30">
        <f t="shared" si="35"/>
        <v>0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</row>
    <row r="86" spans="1:52" ht="11.25" customHeight="1" x14ac:dyDescent="0.2">
      <c r="A86" s="4">
        <f t="shared" si="36"/>
        <v>60005010</v>
      </c>
      <c r="B86" s="4" t="str">
        <f t="shared" si="36"/>
        <v>2010-11</v>
      </c>
      <c r="C86" s="6" t="str">
        <f t="shared" si="36"/>
        <v>Western Carolina University</v>
      </c>
      <c r="D86" s="26">
        <f t="shared" si="27"/>
        <v>1.6824683405714587</v>
      </c>
      <c r="E86" s="26">
        <f t="shared" si="28"/>
        <v>0.58164462992576416</v>
      </c>
      <c r="F86" s="26">
        <f t="shared" si="29"/>
        <v>2.0271400069670964</v>
      </c>
      <c r="G86" s="26">
        <f t="shared" si="30"/>
        <v>0</v>
      </c>
      <c r="H86" s="123">
        <f t="shared" si="31"/>
        <v>2.0596501031283641</v>
      </c>
      <c r="I86" s="123"/>
      <c r="J86" s="26">
        <f t="shared" si="32"/>
        <v>0</v>
      </c>
      <c r="K86" s="26">
        <f t="shared" si="33"/>
        <v>0</v>
      </c>
      <c r="L86" s="26">
        <f t="shared" si="34"/>
        <v>0</v>
      </c>
      <c r="M86" s="30">
        <f t="shared" si="35"/>
        <v>0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</row>
    <row r="87" spans="1:52" ht="11.25" customHeight="1" x14ac:dyDescent="0.2">
      <c r="A87" s="4">
        <f t="shared" si="36"/>
        <v>60005010</v>
      </c>
      <c r="B87" s="4" t="str">
        <f t="shared" si="36"/>
        <v>2011-12</v>
      </c>
      <c r="C87" s="6" t="str">
        <f t="shared" si="36"/>
        <v>Western Carolina University</v>
      </c>
      <c r="D87" s="26">
        <f t="shared" si="27"/>
        <v>1.7794168402337498</v>
      </c>
      <c r="E87" s="26">
        <f t="shared" si="28"/>
        <v>0.55637150223772458</v>
      </c>
      <c r="F87" s="26">
        <f t="shared" si="29"/>
        <v>2.3730529152891826</v>
      </c>
      <c r="G87" s="26">
        <f t="shared" si="30"/>
        <v>0</v>
      </c>
      <c r="H87" s="123">
        <f t="shared" si="31"/>
        <v>2.2077230274012658</v>
      </c>
      <c r="I87" s="123"/>
      <c r="J87" s="26">
        <f t="shared" si="32"/>
        <v>0</v>
      </c>
      <c r="K87" s="26">
        <f t="shared" si="33"/>
        <v>0</v>
      </c>
      <c r="L87" s="26">
        <f t="shared" si="34"/>
        <v>0</v>
      </c>
      <c r="M87" s="30">
        <f t="shared" si="35"/>
        <v>0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</row>
    <row r="88" spans="1:52" ht="11.25" customHeight="1" x14ac:dyDescent="0.2">
      <c r="A88" s="4">
        <f t="shared" si="36"/>
        <v>60005010</v>
      </c>
      <c r="B88" s="4" t="str">
        <f t="shared" si="36"/>
        <v>2012-13</v>
      </c>
      <c r="C88" s="6" t="str">
        <f t="shared" si="36"/>
        <v>Western Carolina University</v>
      </c>
      <c r="D88" s="26">
        <f t="shared" si="27"/>
        <v>1.8551111286208963</v>
      </c>
      <c r="E88" s="26">
        <f t="shared" si="28"/>
        <v>0.56060236142920117</v>
      </c>
      <c r="F88" s="26">
        <f t="shared" si="29"/>
        <v>2.5076586199072746</v>
      </c>
      <c r="G88" s="26">
        <f t="shared" si="30"/>
        <v>0</v>
      </c>
      <c r="H88" s="123">
        <f t="shared" si="31"/>
        <v>1.7266129013581313</v>
      </c>
      <c r="I88" s="123"/>
      <c r="J88" s="26">
        <f t="shared" si="32"/>
        <v>0</v>
      </c>
      <c r="K88" s="26">
        <f t="shared" si="33"/>
        <v>0</v>
      </c>
      <c r="L88" s="26">
        <f t="shared" si="34"/>
        <v>0</v>
      </c>
      <c r="M88" s="30">
        <f t="shared" si="35"/>
        <v>0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</row>
    <row r="89" spans="1:52" ht="11.25" customHeight="1" x14ac:dyDescent="0.2">
      <c r="A89" s="4">
        <f t="shared" si="36"/>
        <v>60005010</v>
      </c>
      <c r="B89" s="4" t="str">
        <f t="shared" si="36"/>
        <v>2013-14</v>
      </c>
      <c r="C89" s="6" t="str">
        <f t="shared" si="36"/>
        <v>Western Carolina University</v>
      </c>
      <c r="D89" s="26">
        <f t="shared" si="27"/>
        <v>2.0623463166644997</v>
      </c>
      <c r="E89" s="26">
        <f t="shared" si="28"/>
        <v>0.60320629851837504</v>
      </c>
      <c r="F89" s="26">
        <f t="shared" si="29"/>
        <v>2.4415306153460969</v>
      </c>
      <c r="G89" s="26">
        <f t="shared" si="30"/>
        <v>1.4256666462622511</v>
      </c>
      <c r="H89" s="123">
        <f t="shared" si="31"/>
        <v>2.3242599684760559</v>
      </c>
      <c r="I89" s="123"/>
      <c r="J89" s="26">
        <f t="shared" si="32"/>
        <v>0</v>
      </c>
      <c r="K89" s="26">
        <f t="shared" si="33"/>
        <v>0</v>
      </c>
      <c r="L89" s="26">
        <f t="shared" si="34"/>
        <v>0</v>
      </c>
      <c r="M89" s="30">
        <f t="shared" si="35"/>
        <v>0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</row>
    <row r="90" spans="1:52" ht="11.25" customHeight="1" x14ac:dyDescent="0.2">
      <c r="A90" s="4">
        <f t="shared" si="36"/>
        <v>60005010</v>
      </c>
      <c r="B90" s="4" t="str">
        <f t="shared" si="36"/>
        <v>2014-15</v>
      </c>
      <c r="C90" s="6" t="str">
        <f t="shared" si="36"/>
        <v>Western Carolina University</v>
      </c>
      <c r="D90" s="26">
        <f t="shared" si="27"/>
        <v>1.9062854347736831</v>
      </c>
      <c r="E90" s="26">
        <f t="shared" si="28"/>
        <v>0.53998243867019347</v>
      </c>
      <c r="F90" s="26">
        <f t="shared" si="29"/>
        <v>1.8234488958025195</v>
      </c>
      <c r="G90" s="26">
        <f t="shared" si="30"/>
        <v>1.9019333333333333</v>
      </c>
      <c r="H90" s="123">
        <f t="shared" si="31"/>
        <v>1.790375911451159</v>
      </c>
      <c r="I90" s="123"/>
      <c r="J90" s="26">
        <f t="shared" si="32"/>
        <v>0</v>
      </c>
      <c r="K90" s="26">
        <f t="shared" si="33"/>
        <v>0</v>
      </c>
      <c r="L90" s="26">
        <f t="shared" si="34"/>
        <v>0</v>
      </c>
      <c r="M90" s="30">
        <f t="shared" si="35"/>
        <v>0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</row>
    <row r="91" spans="1:52" ht="11.25" customHeight="1" x14ac:dyDescent="0.2">
      <c r="A91" s="4">
        <f t="shared" si="36"/>
        <v>60005010</v>
      </c>
      <c r="B91" s="4" t="str">
        <f t="shared" si="36"/>
        <v>2015-16</v>
      </c>
      <c r="C91" s="6" t="str">
        <f t="shared" si="36"/>
        <v>Western Carolina University</v>
      </c>
      <c r="D91" s="26">
        <f t="shared" si="27"/>
        <v>0</v>
      </c>
      <c r="E91" s="26">
        <f t="shared" si="28"/>
        <v>0</v>
      </c>
      <c r="F91" s="26">
        <f t="shared" si="29"/>
        <v>0</v>
      </c>
      <c r="G91" s="26">
        <f t="shared" si="30"/>
        <v>0</v>
      </c>
      <c r="H91" s="123">
        <f t="shared" si="31"/>
        <v>0</v>
      </c>
      <c r="I91" s="123"/>
      <c r="J91" s="26">
        <f t="shared" si="32"/>
        <v>0</v>
      </c>
      <c r="K91" s="26">
        <f t="shared" si="33"/>
        <v>0</v>
      </c>
      <c r="L91" s="26">
        <f t="shared" si="34"/>
        <v>0</v>
      </c>
      <c r="M91" s="30">
        <f t="shared" si="35"/>
        <v>0</v>
      </c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</row>
    <row r="92" spans="1:52" ht="11.25" customHeight="1" x14ac:dyDescent="0.2">
      <c r="A92" s="4">
        <f t="shared" si="36"/>
        <v>60005010</v>
      </c>
      <c r="B92" s="4" t="str">
        <f t="shared" si="36"/>
        <v>2016-14</v>
      </c>
      <c r="C92" s="6" t="str">
        <f t="shared" si="36"/>
        <v>Western Carolina University</v>
      </c>
      <c r="D92" s="26">
        <f t="shared" si="27"/>
        <v>0</v>
      </c>
      <c r="E92" s="26">
        <f t="shared" si="28"/>
        <v>0</v>
      </c>
      <c r="F92" s="26">
        <f t="shared" si="29"/>
        <v>0</v>
      </c>
      <c r="G92" s="26">
        <f t="shared" si="30"/>
        <v>0</v>
      </c>
      <c r="H92" s="123">
        <f t="shared" si="31"/>
        <v>0</v>
      </c>
      <c r="I92" s="123"/>
      <c r="J92" s="26">
        <f t="shared" si="32"/>
        <v>0</v>
      </c>
      <c r="K92" s="26">
        <f t="shared" si="33"/>
        <v>0</v>
      </c>
      <c r="L92" s="26">
        <f t="shared" si="34"/>
        <v>0</v>
      </c>
      <c r="M92" s="30">
        <f t="shared" si="35"/>
        <v>0</v>
      </c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</row>
    <row r="93" spans="1:52" ht="11.25" customHeight="1" x14ac:dyDescent="0.2">
      <c r="A93" s="4">
        <f t="shared" si="36"/>
        <v>60005010</v>
      </c>
      <c r="B93" s="4" t="str">
        <f t="shared" si="36"/>
        <v>2017-18</v>
      </c>
      <c r="C93" s="6" t="str">
        <f t="shared" si="36"/>
        <v>Western Carolina University</v>
      </c>
      <c r="D93" s="26">
        <f t="shared" si="27"/>
        <v>0</v>
      </c>
      <c r="E93" s="26">
        <f t="shared" si="28"/>
        <v>0</v>
      </c>
      <c r="F93" s="26">
        <f t="shared" si="29"/>
        <v>0</v>
      </c>
      <c r="G93" s="26">
        <f t="shared" si="30"/>
        <v>0</v>
      </c>
      <c r="H93" s="123">
        <f t="shared" si="31"/>
        <v>0</v>
      </c>
      <c r="I93" s="123"/>
      <c r="J93" s="26">
        <f t="shared" si="32"/>
        <v>0</v>
      </c>
      <c r="K93" s="26">
        <f t="shared" si="33"/>
        <v>0</v>
      </c>
      <c r="L93" s="26">
        <f t="shared" si="34"/>
        <v>0</v>
      </c>
      <c r="M93" s="30">
        <f t="shared" si="35"/>
        <v>0</v>
      </c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</row>
    <row r="94" spans="1:52" ht="11.25" customHeight="1" x14ac:dyDescent="0.2">
      <c r="A94" s="4">
        <f t="shared" si="36"/>
        <v>60005010</v>
      </c>
      <c r="B94" s="4" t="str">
        <f t="shared" si="36"/>
        <v>2018-19</v>
      </c>
      <c r="C94" s="6" t="str">
        <f t="shared" si="36"/>
        <v>Western Carolina University</v>
      </c>
      <c r="D94" s="26">
        <f t="shared" si="27"/>
        <v>0</v>
      </c>
      <c r="E94" s="26">
        <f t="shared" si="28"/>
        <v>0</v>
      </c>
      <c r="F94" s="26">
        <f t="shared" si="29"/>
        <v>0</v>
      </c>
      <c r="G94" s="26">
        <f t="shared" si="30"/>
        <v>0</v>
      </c>
      <c r="H94" s="123">
        <f t="shared" si="31"/>
        <v>0</v>
      </c>
      <c r="I94" s="123"/>
      <c r="J94" s="26">
        <f t="shared" si="32"/>
        <v>0</v>
      </c>
      <c r="K94" s="26">
        <f t="shared" si="33"/>
        <v>0</v>
      </c>
      <c r="L94" s="26">
        <f t="shared" si="34"/>
        <v>0</v>
      </c>
      <c r="M94" s="30">
        <f t="shared" si="35"/>
        <v>0</v>
      </c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</row>
    <row r="95" spans="1:52" ht="11.25" customHeight="1" x14ac:dyDescent="0.2">
      <c r="A95" s="4">
        <f t="shared" ref="A95:C100" si="37">A19</f>
        <v>60005010</v>
      </c>
      <c r="B95" s="4" t="str">
        <f t="shared" si="37"/>
        <v>2019-20</v>
      </c>
      <c r="C95" s="6" t="str">
        <f t="shared" si="37"/>
        <v>Western Carolina University</v>
      </c>
      <c r="D95" s="26">
        <f t="shared" si="27"/>
        <v>0</v>
      </c>
      <c r="E95" s="26">
        <f t="shared" si="28"/>
        <v>0</v>
      </c>
      <c r="F95" s="26">
        <f t="shared" si="29"/>
        <v>0</v>
      </c>
      <c r="G95" s="26">
        <f t="shared" si="30"/>
        <v>0</v>
      </c>
      <c r="H95" s="123">
        <f t="shared" si="31"/>
        <v>0</v>
      </c>
      <c r="I95" s="123"/>
      <c r="J95" s="26">
        <f t="shared" si="32"/>
        <v>0</v>
      </c>
      <c r="K95" s="26">
        <f t="shared" si="33"/>
        <v>0</v>
      </c>
      <c r="L95" s="26">
        <f t="shared" si="34"/>
        <v>0</v>
      </c>
      <c r="M95" s="30">
        <f t="shared" si="35"/>
        <v>0</v>
      </c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</row>
    <row r="96" spans="1:52" ht="11.25" customHeight="1" x14ac:dyDescent="0.2">
      <c r="A96" s="4">
        <f t="shared" si="37"/>
        <v>60005010</v>
      </c>
      <c r="B96" s="4" t="str">
        <f t="shared" si="37"/>
        <v>2020-21</v>
      </c>
      <c r="C96" s="6" t="str">
        <f t="shared" si="37"/>
        <v>Western Carolina University</v>
      </c>
      <c r="D96" s="26">
        <f t="shared" si="27"/>
        <v>0</v>
      </c>
      <c r="E96" s="26">
        <f t="shared" si="28"/>
        <v>0</v>
      </c>
      <c r="F96" s="26">
        <f t="shared" si="29"/>
        <v>0</v>
      </c>
      <c r="G96" s="26">
        <f t="shared" si="30"/>
        <v>0</v>
      </c>
      <c r="H96" s="123">
        <f t="shared" si="31"/>
        <v>0</v>
      </c>
      <c r="I96" s="123"/>
      <c r="J96" s="26">
        <f t="shared" si="32"/>
        <v>0</v>
      </c>
      <c r="K96" s="26">
        <f t="shared" si="33"/>
        <v>0</v>
      </c>
      <c r="L96" s="26">
        <f t="shared" si="34"/>
        <v>0</v>
      </c>
      <c r="M96" s="30">
        <f t="shared" si="35"/>
        <v>0</v>
      </c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</row>
    <row r="97" spans="1:52" ht="11.25" customHeight="1" x14ac:dyDescent="0.2">
      <c r="A97" s="4">
        <f t="shared" si="37"/>
        <v>60005010</v>
      </c>
      <c r="B97" s="4" t="str">
        <f t="shared" si="37"/>
        <v>2021-22</v>
      </c>
      <c r="C97" s="6" t="str">
        <f t="shared" si="37"/>
        <v>Western Carolina University</v>
      </c>
      <c r="D97" s="26">
        <f t="shared" si="27"/>
        <v>0</v>
      </c>
      <c r="E97" s="26">
        <f t="shared" si="28"/>
        <v>0</v>
      </c>
      <c r="F97" s="26">
        <f t="shared" si="29"/>
        <v>0</v>
      </c>
      <c r="G97" s="26">
        <f t="shared" si="30"/>
        <v>0</v>
      </c>
      <c r="H97" s="123">
        <f t="shared" si="31"/>
        <v>0</v>
      </c>
      <c r="I97" s="123"/>
      <c r="J97" s="26">
        <f t="shared" si="32"/>
        <v>0</v>
      </c>
      <c r="K97" s="26">
        <f t="shared" si="33"/>
        <v>0</v>
      </c>
      <c r="L97" s="26">
        <f t="shared" si="34"/>
        <v>0</v>
      </c>
      <c r="M97" s="30">
        <f t="shared" si="35"/>
        <v>0</v>
      </c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</row>
    <row r="98" spans="1:52" ht="11.25" customHeight="1" x14ac:dyDescent="0.2">
      <c r="A98" s="4">
        <f t="shared" si="37"/>
        <v>60005010</v>
      </c>
      <c r="B98" s="4" t="str">
        <f t="shared" si="37"/>
        <v>2022-23</v>
      </c>
      <c r="C98" s="6" t="str">
        <f t="shared" si="37"/>
        <v>Western Carolina University</v>
      </c>
      <c r="D98" s="26">
        <f t="shared" si="27"/>
        <v>0</v>
      </c>
      <c r="E98" s="26">
        <f t="shared" si="28"/>
        <v>0</v>
      </c>
      <c r="F98" s="26">
        <f t="shared" si="29"/>
        <v>0</v>
      </c>
      <c r="G98" s="26">
        <f t="shared" si="30"/>
        <v>0</v>
      </c>
      <c r="H98" s="123">
        <f t="shared" si="31"/>
        <v>0</v>
      </c>
      <c r="I98" s="123"/>
      <c r="J98" s="26">
        <f t="shared" si="32"/>
        <v>0</v>
      </c>
      <c r="K98" s="26">
        <f t="shared" si="33"/>
        <v>0</v>
      </c>
      <c r="L98" s="26">
        <f t="shared" si="34"/>
        <v>0</v>
      </c>
      <c r="M98" s="30">
        <f t="shared" si="35"/>
        <v>0</v>
      </c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</row>
    <row r="99" spans="1:52" ht="11.25" customHeight="1" x14ac:dyDescent="0.2">
      <c r="A99" s="4">
        <f t="shared" si="37"/>
        <v>60005010</v>
      </c>
      <c r="B99" s="4" t="str">
        <f t="shared" si="37"/>
        <v>2023-24</v>
      </c>
      <c r="C99" s="6" t="str">
        <f t="shared" si="37"/>
        <v>Western Carolina University</v>
      </c>
      <c r="D99" s="26">
        <f t="shared" si="27"/>
        <v>0</v>
      </c>
      <c r="E99" s="26">
        <f t="shared" si="28"/>
        <v>0</v>
      </c>
      <c r="F99" s="26">
        <f t="shared" si="29"/>
        <v>0</v>
      </c>
      <c r="G99" s="26">
        <f t="shared" si="30"/>
        <v>0</v>
      </c>
      <c r="H99" s="123">
        <f t="shared" si="31"/>
        <v>0</v>
      </c>
      <c r="I99" s="123"/>
      <c r="J99" s="26">
        <f t="shared" si="32"/>
        <v>0</v>
      </c>
      <c r="K99" s="26">
        <f t="shared" si="33"/>
        <v>0</v>
      </c>
      <c r="L99" s="26">
        <f t="shared" si="34"/>
        <v>0</v>
      </c>
      <c r="M99" s="30">
        <f t="shared" si="35"/>
        <v>0</v>
      </c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</row>
    <row r="100" spans="1:52" ht="11.25" customHeight="1" x14ac:dyDescent="0.2">
      <c r="A100" s="4">
        <f t="shared" si="37"/>
        <v>60005010</v>
      </c>
      <c r="B100" s="4" t="str">
        <f t="shared" si="37"/>
        <v>2024-25</v>
      </c>
      <c r="C100" s="6" t="str">
        <f t="shared" si="37"/>
        <v>Western Carolina University</v>
      </c>
      <c r="D100" s="26">
        <f t="shared" si="27"/>
        <v>0</v>
      </c>
      <c r="E100" s="26">
        <f t="shared" si="28"/>
        <v>0</v>
      </c>
      <c r="F100" s="26">
        <f t="shared" si="29"/>
        <v>0</v>
      </c>
      <c r="G100" s="26">
        <f t="shared" si="30"/>
        <v>0</v>
      </c>
      <c r="H100" s="123">
        <f t="shared" si="31"/>
        <v>0</v>
      </c>
      <c r="I100" s="123"/>
      <c r="J100" s="26">
        <f t="shared" si="32"/>
        <v>0</v>
      </c>
      <c r="K100" s="26">
        <f t="shared" si="33"/>
        <v>0</v>
      </c>
      <c r="L100" s="26">
        <f t="shared" si="34"/>
        <v>0</v>
      </c>
      <c r="M100" s="30">
        <f t="shared" si="35"/>
        <v>0</v>
      </c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</row>
    <row r="101" spans="1:52" x14ac:dyDescent="0.2">
      <c r="B101" s="45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</row>
    <row r="102" spans="1:52" x14ac:dyDescent="0.2">
      <c r="B102" s="45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</row>
    <row r="103" spans="1:52" x14ac:dyDescent="0.2">
      <c r="B103" s="45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</row>
    <row r="104" spans="1:52" x14ac:dyDescent="0.2">
      <c r="B104" s="45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</row>
    <row r="105" spans="1:52" x14ac:dyDescent="0.2">
      <c r="B105" s="45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</row>
    <row r="106" spans="1:52" x14ac:dyDescent="0.2">
      <c r="B106" s="45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</row>
    <row r="107" spans="1:52" x14ac:dyDescent="0.2">
      <c r="B107" s="45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</row>
    <row r="108" spans="1:52" x14ac:dyDescent="0.2">
      <c r="B108" s="45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</row>
    <row r="109" spans="1:52" x14ac:dyDescent="0.2">
      <c r="B109" s="45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</row>
    <row r="110" spans="1:52" x14ac:dyDescent="0.2">
      <c r="B110" s="45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</row>
    <row r="111" spans="1:52" x14ac:dyDescent="0.2">
      <c r="B111" s="45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</row>
    <row r="112" spans="1:52" x14ac:dyDescent="0.2">
      <c r="B112" s="45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</row>
    <row r="113" spans="2:52" customFormat="1" x14ac:dyDescent="0.2">
      <c r="B113" s="45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</row>
    <row r="114" spans="2:52" customFormat="1" x14ac:dyDescent="0.2">
      <c r="B114" s="45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</row>
    <row r="115" spans="2:52" customFormat="1" x14ac:dyDescent="0.2">
      <c r="B115" s="45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</row>
    <row r="116" spans="2:52" customFormat="1" x14ac:dyDescent="0.2">
      <c r="B116" s="45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</row>
    <row r="117" spans="2:52" customFormat="1" x14ac:dyDescent="0.2">
      <c r="B117" s="45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</row>
    <row r="118" spans="2:52" customFormat="1" x14ac:dyDescent="0.2">
      <c r="B118" s="45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</row>
    <row r="119" spans="2:52" customFormat="1" x14ac:dyDescent="0.2">
      <c r="B119" s="45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</row>
    <row r="120" spans="2:52" customFormat="1" x14ac:dyDescent="0.2">
      <c r="B120" s="45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</row>
    <row r="121" spans="2:52" customFormat="1" x14ac:dyDescent="0.2">
      <c r="B121" s="45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</row>
    <row r="122" spans="2:52" customFormat="1" x14ac:dyDescent="0.2">
      <c r="B122" s="45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</row>
    <row r="123" spans="2:52" customFormat="1" x14ac:dyDescent="0.2">
      <c r="B123" s="45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</row>
    <row r="124" spans="2:52" customFormat="1" x14ac:dyDescent="0.2">
      <c r="B124" s="45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</row>
    <row r="125" spans="2:52" customFormat="1" x14ac:dyDescent="0.2">
      <c r="B125" s="45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</row>
    <row r="126" spans="2:52" customFormat="1" x14ac:dyDescent="0.2">
      <c r="B126" s="45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</row>
    <row r="127" spans="2:52" customFormat="1" x14ac:dyDescent="0.2">
      <c r="B127" s="45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</row>
    <row r="128" spans="2:52" customFormat="1" x14ac:dyDescent="0.2">
      <c r="B128" s="45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</row>
    <row r="129" spans="2:52" customFormat="1" x14ac:dyDescent="0.2">
      <c r="B129" s="45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</row>
    <row r="130" spans="2:52" customFormat="1" x14ac:dyDescent="0.2">
      <c r="B130" s="45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</row>
    <row r="131" spans="2:52" customFormat="1" x14ac:dyDescent="0.2">
      <c r="B131" s="45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</row>
    <row r="132" spans="2:52" customFormat="1" x14ac:dyDescent="0.2">
      <c r="B132" s="45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</row>
    <row r="133" spans="2:52" customFormat="1" x14ac:dyDescent="0.2">
      <c r="B133" s="45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</row>
    <row r="134" spans="2:52" customFormat="1" x14ac:dyDescent="0.2">
      <c r="B134" s="45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</row>
    <row r="135" spans="2:52" customFormat="1" x14ac:dyDescent="0.2">
      <c r="B135" s="45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</row>
    <row r="136" spans="2:52" customFormat="1" x14ac:dyDescent="0.2">
      <c r="B136" s="45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</row>
    <row r="137" spans="2:52" customFormat="1" x14ac:dyDescent="0.2">
      <c r="B137" s="45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</row>
    <row r="138" spans="2:52" customFormat="1" x14ac:dyDescent="0.2">
      <c r="B138" s="45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</row>
    <row r="139" spans="2:52" customFormat="1" x14ac:dyDescent="0.2">
      <c r="B139" s="45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</row>
    <row r="140" spans="2:52" customFormat="1" x14ac:dyDescent="0.2">
      <c r="B140" s="45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</row>
    <row r="141" spans="2:52" customFormat="1" x14ac:dyDescent="0.2">
      <c r="B141" s="45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</row>
    <row r="142" spans="2:52" customFormat="1" x14ac:dyDescent="0.2">
      <c r="B142" s="45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</row>
    <row r="143" spans="2:52" customFormat="1" x14ac:dyDescent="0.2">
      <c r="B143" s="45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</row>
    <row r="144" spans="2:52" customFormat="1" x14ac:dyDescent="0.2">
      <c r="B144" s="45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</row>
    <row r="145" spans="2:52" customFormat="1" x14ac:dyDescent="0.2">
      <c r="B145" s="45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</row>
    <row r="146" spans="2:52" customFormat="1" x14ac:dyDescent="0.2">
      <c r="B146" s="45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</row>
    <row r="147" spans="2:52" customFormat="1" x14ac:dyDescent="0.2">
      <c r="B147" s="45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</row>
    <row r="148" spans="2:52" customFormat="1" x14ac:dyDescent="0.2">
      <c r="B148" s="45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</row>
    <row r="149" spans="2:52" customFormat="1" x14ac:dyDescent="0.2">
      <c r="B149" s="45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</row>
    <row r="150" spans="2:52" customFormat="1" x14ac:dyDescent="0.2">
      <c r="B150" s="45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</row>
    <row r="151" spans="2:52" customFormat="1" x14ac:dyDescent="0.2">
      <c r="B151" s="45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</row>
    <row r="152" spans="2:52" customFormat="1" x14ac:dyDescent="0.2">
      <c r="B152" s="45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</row>
    <row r="153" spans="2:52" customFormat="1" x14ac:dyDescent="0.2">
      <c r="B153" s="45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</row>
    <row r="154" spans="2:52" customFormat="1" x14ac:dyDescent="0.2">
      <c r="B154" s="45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</row>
    <row r="155" spans="2:52" customFormat="1" x14ac:dyDescent="0.2">
      <c r="B155" s="45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</row>
    <row r="156" spans="2:52" customFormat="1" x14ac:dyDescent="0.2">
      <c r="B156" s="45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</row>
    <row r="157" spans="2:52" customFormat="1" x14ac:dyDescent="0.2">
      <c r="B157" s="45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</row>
    <row r="158" spans="2:52" customFormat="1" x14ac:dyDescent="0.2">
      <c r="B158" s="45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</row>
    <row r="159" spans="2:52" customFormat="1" x14ac:dyDescent="0.2">
      <c r="B159" s="45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</row>
    <row r="160" spans="2:52" customFormat="1" x14ac:dyDescent="0.2">
      <c r="B160" s="45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</row>
    <row r="161" spans="2:52" customFormat="1" x14ac:dyDescent="0.2">
      <c r="B161" s="45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</row>
    <row r="162" spans="2:52" customFormat="1" x14ac:dyDescent="0.2">
      <c r="B162" s="45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</row>
    <row r="163" spans="2:52" customFormat="1" x14ac:dyDescent="0.2">
      <c r="B163" s="45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</row>
    <row r="164" spans="2:52" customFormat="1" x14ac:dyDescent="0.2">
      <c r="B164" s="45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</row>
    <row r="165" spans="2:52" customFormat="1" x14ac:dyDescent="0.2">
      <c r="B165" s="45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</row>
    <row r="166" spans="2:52" customFormat="1" x14ac:dyDescent="0.2">
      <c r="B166" s="45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</row>
    <row r="167" spans="2:52" customFormat="1" x14ac:dyDescent="0.2">
      <c r="B167" s="45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</row>
    <row r="168" spans="2:52" customFormat="1" x14ac:dyDescent="0.2">
      <c r="B168" s="45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</row>
    <row r="169" spans="2:52" customFormat="1" x14ac:dyDescent="0.2">
      <c r="B169" s="45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</row>
    <row r="170" spans="2:52" customFormat="1" x14ac:dyDescent="0.2">
      <c r="B170" s="45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</row>
    <row r="171" spans="2:52" customFormat="1" x14ac:dyDescent="0.2">
      <c r="B171" s="45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</row>
    <row r="172" spans="2:52" customFormat="1" x14ac:dyDescent="0.2">
      <c r="B172" s="45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</row>
    <row r="173" spans="2:52" customFormat="1" x14ac:dyDescent="0.2">
      <c r="B173" s="45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</row>
    <row r="174" spans="2:52" customFormat="1" x14ac:dyDescent="0.2">
      <c r="B174" s="45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</row>
    <row r="175" spans="2:52" customFormat="1" x14ac:dyDescent="0.2">
      <c r="B175" s="45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</row>
    <row r="176" spans="2:52" customFormat="1" x14ac:dyDescent="0.2">
      <c r="B176" s="45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</row>
  </sheetData>
  <mergeCells count="50">
    <mergeCell ref="H99:I99"/>
    <mergeCell ref="H100:I100"/>
    <mergeCell ref="H93:I93"/>
    <mergeCell ref="H94:I94"/>
    <mergeCell ref="H95:I95"/>
    <mergeCell ref="H96:I96"/>
    <mergeCell ref="H97:I97"/>
    <mergeCell ref="H98:I98"/>
    <mergeCell ref="H92:I92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80:I80"/>
    <mergeCell ref="H68:I68"/>
    <mergeCell ref="H69:I69"/>
    <mergeCell ref="H70:I70"/>
    <mergeCell ref="H71:I71"/>
    <mergeCell ref="H72:I72"/>
    <mergeCell ref="H73:I73"/>
    <mergeCell ref="H74:I74"/>
    <mergeCell ref="H75:I75"/>
    <mergeCell ref="D77:M77"/>
    <mergeCell ref="H78:I78"/>
    <mergeCell ref="H79:I79"/>
    <mergeCell ref="H67:I67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55:I55"/>
    <mergeCell ref="D26:I26"/>
    <mergeCell ref="J26:N26"/>
    <mergeCell ref="H52:I52"/>
    <mergeCell ref="H53:I53"/>
    <mergeCell ref="H54:I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WCU</vt:lpstr>
      <vt:lpstr>Usage and cost by fuel</vt:lpstr>
      <vt:lpstr>Historical Costs</vt:lpstr>
      <vt:lpstr>Energy Evaluation</vt:lpstr>
      <vt:lpstr>Previous WCU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Lyn</dc:creator>
  <cp:lastModifiedBy>WCUUser</cp:lastModifiedBy>
  <cp:lastPrinted>2016-07-28T12:25:32Z</cp:lastPrinted>
  <dcterms:created xsi:type="dcterms:W3CDTF">2015-07-29T16:08:32Z</dcterms:created>
  <dcterms:modified xsi:type="dcterms:W3CDTF">2017-09-07T20:03:37Z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ctor" linkTarget="Prop_fctor">
    <vt:lpwstr>#REF!</vt:lpwstr>
  </property>
</Properties>
</file>